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NERJISA\CFO\Investor Relations\3. Reports\Financial Reports\Fact Sheet\Q12018\"/>
    </mc:Choice>
  </mc:AlternateContent>
  <bookViews>
    <workbookView xWindow="0" yWindow="0" windowWidth="14380" windowHeight="4190"/>
  </bookViews>
  <sheets>
    <sheet name="FactSheet_Cons" sheetId="34" r:id="rId1"/>
    <sheet name="FactSheet_Disco" sheetId="36" r:id="rId2"/>
    <sheet name="FactSheet _Retail" sheetId="35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2" hidden="1">[1]TABLO!#REF!</definedName>
    <definedName name="__123Graph_A" localSheetId="0" hidden="1">[1]TABLO!#REF!</definedName>
    <definedName name="__123Graph_A" hidden="1">[1]TABLO!#REF!</definedName>
    <definedName name="__123Graph_ARISK" localSheetId="2" hidden="1">#REF!</definedName>
    <definedName name="__123Graph_ARISK" localSheetId="0" hidden="1">#REF!</definedName>
    <definedName name="__123Graph_ARISK" hidden="1">#REF!</definedName>
    <definedName name="__123Graph_B" localSheetId="2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2" hidden="1">#REF!</definedName>
    <definedName name="__123Graph_BRISK" localSheetId="0" hidden="1">#REF!</definedName>
    <definedName name="__123Graph_BRISK" hidden="1">#REF!</definedName>
    <definedName name="__123Graph_C" localSheetId="2" hidden="1">[2]FONKON2005!#REF!</definedName>
    <definedName name="__123Graph_C" localSheetId="0" hidden="1">[2]FONKON2005!#REF!</definedName>
    <definedName name="__123Graph_C" hidden="1">[2]FONKON2005!#REF!</definedName>
    <definedName name="__123Graph_D" localSheetId="2" hidden="1">[2]FONKON2005!#REF!</definedName>
    <definedName name="__123Graph_D" localSheetId="0" hidden="1">[2]FONKON2005!#REF!</definedName>
    <definedName name="__123Graph_D" hidden="1">[2]FONKON2005!#REF!</definedName>
    <definedName name="__123Graph_E" localSheetId="2" hidden="1">[2]FONKON2005!#REF!</definedName>
    <definedName name="__123Graph_E" localSheetId="0" hidden="1">[2]FONKON2005!#REF!</definedName>
    <definedName name="__123Graph_E" hidden="1">[2]FONKON2005!#REF!</definedName>
    <definedName name="__123Graph_F" localSheetId="2" hidden="1">[2]FONKON2005!#REF!</definedName>
    <definedName name="__123Graph_F" localSheetId="0" hidden="1">[2]FONKON2005!#REF!</definedName>
    <definedName name="__123Graph_F" hidden="1">[2]FONKON2005!#REF!</definedName>
    <definedName name="__123Graph_X" localSheetId="2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2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2" hidden="1">[3]SEMANAIS!#REF!</definedName>
    <definedName name="_10____0_S" localSheetId="0" hidden="1">[3]SEMANAIS!#REF!</definedName>
    <definedName name="_10____0_S" hidden="1">[3]SEMANAIS!#REF!</definedName>
    <definedName name="_11___0_S" localSheetId="2" hidden="1">[3]SEMANAIS!#REF!</definedName>
    <definedName name="_11___0_S" localSheetId="0" hidden="1">[3]SEMANAIS!#REF!</definedName>
    <definedName name="_11___0_S" hidden="1">[3]SEMANAIS!#REF!</definedName>
    <definedName name="_12_0_S" localSheetId="2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2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2" hidden="1">[3]SEMANAIS!#REF!</definedName>
    <definedName name="_2S" localSheetId="0" hidden="1">[3]SEMANAIS!#REF!</definedName>
    <definedName name="_2S" hidden="1">[3]SEMANAIS!#REF!</definedName>
    <definedName name="_3_______________________0_S" localSheetId="2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2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2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2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2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2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2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2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2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2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2" hidden="1">#REF!</definedName>
    <definedName name="_Dist_Bin" localSheetId="0" hidden="1">#REF!</definedName>
    <definedName name="_Dist_Bin" hidden="1">#REF!</definedName>
    <definedName name="_Dist_Values" localSheetId="2" hidden="1">#REF!</definedName>
    <definedName name="_Dist_Values" localSheetId="0" hidden="1">#REF!</definedName>
    <definedName name="_Dist_Values" hidden="1">#REF!</definedName>
    <definedName name="_Fill" localSheetId="2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2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2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2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2" hidden="1">#REF!</definedName>
    <definedName name="data2" localSheetId="0" hidden="1">#REF!</definedName>
    <definedName name="data2" hidden="1">#REF!</definedName>
    <definedName name="data3" localSheetId="2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2" hidden="1">#REF!</definedName>
    <definedName name="Discount" localSheetId="0" hidden="1">#REF!</definedName>
    <definedName name="Discount" hidden="1">#REF!</definedName>
    <definedName name="display_area_2" localSheetId="2" hidden="1">#REF!</definedName>
    <definedName name="display_area_2" localSheetId="0" hidden="1">#REF!</definedName>
    <definedName name="display_area_2" hidden="1">#REF!</definedName>
    <definedName name="disposal2005" localSheetId="2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2" hidden="1">#REF!</definedName>
    <definedName name="et4rtretg" localSheetId="0" hidden="1">#REF!</definedName>
    <definedName name="et4rtretg" hidden="1">#REF!</definedName>
    <definedName name="etrt" localSheetId="2" hidden="1">#REF!</definedName>
    <definedName name="etrt" localSheetId="0" hidden="1">#REF!</definedName>
    <definedName name="etrt" hidden="1">#REF!</definedName>
    <definedName name="etter" localSheetId="2" hidden="1">#REF!</definedName>
    <definedName name="etter" localSheetId="0" hidden="1">#REF!</definedName>
    <definedName name="etter" hidden="1">#REF!</definedName>
    <definedName name="FCode" localSheetId="2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2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2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2" hidden="1">Main.SAPF4Help()</definedName>
    <definedName name="KH" localSheetId="0" hidden="1">Main.SAPF4Help()</definedName>
    <definedName name="KH" hidden="1">Main.SAPF4Help()</definedName>
    <definedName name="lşiiş" localSheetId="2" hidden="1">#REF!</definedName>
    <definedName name="lşiiş" localSheetId="0" hidden="1">#REF!</definedName>
    <definedName name="lşiiş" hidden="1">#REF!</definedName>
    <definedName name="lşilş" localSheetId="2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2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2" hidden="1">#REF!</definedName>
    <definedName name="ProdForm" localSheetId="0" hidden="1">#REF!</definedName>
    <definedName name="ProdForm" hidden="1">#REF!</definedName>
    <definedName name="Product" localSheetId="2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2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2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2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2" hidden="1">#REF!</definedName>
    <definedName name="SIG_CONTROLE" localSheetId="0" hidden="1">#REF!</definedName>
    <definedName name="SIG_CONTROLE" hidden="1">#REF!</definedName>
    <definedName name="SIG_YCPATB3_H0069" localSheetId="2" hidden="1">#REF!</definedName>
    <definedName name="SIG_YCPATB3_H0069" localSheetId="0" hidden="1">#REF!</definedName>
    <definedName name="SIG_YCPATB3_H0069" hidden="1">#REF!</definedName>
    <definedName name="SIG_YCPATB3_H0070" localSheetId="2" hidden="1">#REF!</definedName>
    <definedName name="SIG_YCPATB3_H0070" localSheetId="0" hidden="1">#REF!</definedName>
    <definedName name="SIG_YCPATB3_H0070" hidden="1">#REF!</definedName>
    <definedName name="SIG_YCPATB3_H0071" localSheetId="2" hidden="1">#REF!</definedName>
    <definedName name="SIG_YCPATB3_H0071" localSheetId="0" hidden="1">#REF!</definedName>
    <definedName name="SIG_YCPATB3_H0071" hidden="1">#REF!</definedName>
    <definedName name="SIG_YCPATB3_H0072" localSheetId="2" hidden="1">#REF!</definedName>
    <definedName name="SIG_YCPATB3_H0072" localSheetId="0" hidden="1">#REF!</definedName>
    <definedName name="SIG_YCPATB3_H0072" hidden="1">#REF!</definedName>
    <definedName name="SIG_YCPATB3_H0073" localSheetId="2" hidden="1">#REF!</definedName>
    <definedName name="SIG_YCPATB3_H0073" localSheetId="0" hidden="1">#REF!</definedName>
    <definedName name="SIG_YCPATB3_H0073" hidden="1">#REF!</definedName>
    <definedName name="SIG_YCPATB3_H0074" localSheetId="2" hidden="1">#REF!</definedName>
    <definedName name="SIG_YCPATB3_H0074" localSheetId="0" hidden="1">#REF!</definedName>
    <definedName name="SIG_YCPATB3_H0074" hidden="1">#REF!</definedName>
    <definedName name="SIG_YCPATB3_H0075" localSheetId="2" hidden="1">#REF!</definedName>
    <definedName name="SIG_YCPATB3_H0075" localSheetId="0" hidden="1">#REF!</definedName>
    <definedName name="SIG_YCPATB3_H0075" hidden="1">#REF!</definedName>
    <definedName name="SIG_YCPATB3_H0076" localSheetId="2" hidden="1">#REF!</definedName>
    <definedName name="SIG_YCPATB3_H0076" localSheetId="0" hidden="1">#REF!</definedName>
    <definedName name="SIG_YCPATB3_H0076" hidden="1">#REF!</definedName>
    <definedName name="SIG_YCPATB3_H0077" localSheetId="2" hidden="1">#REF!</definedName>
    <definedName name="SIG_YCPATB3_H0077" localSheetId="0" hidden="1">#REF!</definedName>
    <definedName name="SIG_YCPATB3_H0077" hidden="1">#REF!</definedName>
    <definedName name="SIG_YCPATB3_H0078" localSheetId="2" hidden="1">#REF!</definedName>
    <definedName name="SIG_YCPATB3_H0078" localSheetId="0" hidden="1">#REF!</definedName>
    <definedName name="SIG_YCPATB3_H0078" hidden="1">#REF!</definedName>
    <definedName name="SIG_YCPATB3_H0079" localSheetId="2" hidden="1">#REF!</definedName>
    <definedName name="SIG_YCPATB3_H0079" localSheetId="0" hidden="1">#REF!</definedName>
    <definedName name="SIG_YCPATB3_H0079" hidden="1">#REF!</definedName>
    <definedName name="SIG_YCPATB3_H0080" localSheetId="2" hidden="1">#REF!</definedName>
    <definedName name="SIG_YCPATB3_H0080" localSheetId="0" hidden="1">#REF!</definedName>
    <definedName name="SIG_YCPATB3_H0080" hidden="1">#REF!</definedName>
    <definedName name="SIG_YCPATB3_H0081" localSheetId="2" hidden="1">#REF!</definedName>
    <definedName name="SIG_YCPATB3_H0081" localSheetId="0" hidden="1">#REF!</definedName>
    <definedName name="SIG_YCPATB3_H0081" hidden="1">#REF!</definedName>
    <definedName name="SIG_YCPATB3_H0082" localSheetId="2" hidden="1">#REF!</definedName>
    <definedName name="SIG_YCPATB3_H0082" localSheetId="0" hidden="1">#REF!</definedName>
    <definedName name="SIG_YCPATB3_H0082" hidden="1">#REF!</definedName>
    <definedName name="SIG_YCPATB3_H0083" localSheetId="2" hidden="1">#REF!</definedName>
    <definedName name="SIG_YCPATB3_H0083" localSheetId="0" hidden="1">#REF!</definedName>
    <definedName name="SIG_YCPATB3_H0083" hidden="1">#REF!</definedName>
    <definedName name="SIG_YCPATB3_H0084" localSheetId="2" hidden="1">#REF!</definedName>
    <definedName name="SIG_YCPATB3_H0084" localSheetId="0" hidden="1">#REF!</definedName>
    <definedName name="SIG_YCPATB3_H0084" hidden="1">#REF!</definedName>
    <definedName name="SpecialPrice" localSheetId="2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2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G22" i="36" l="1"/>
  <c r="G21" i="36"/>
  <c r="G20" i="36"/>
  <c r="G18" i="36"/>
  <c r="G17" i="36"/>
  <c r="G15" i="36"/>
  <c r="K15" i="36"/>
  <c r="G33" i="35"/>
  <c r="G32" i="35"/>
  <c r="G31" i="35"/>
  <c r="G30" i="35"/>
  <c r="G29" i="35"/>
  <c r="G27" i="35"/>
  <c r="G25" i="35"/>
  <c r="G18" i="35"/>
  <c r="G16" i="35"/>
  <c r="G15" i="35"/>
  <c r="G14" i="35"/>
  <c r="K18" i="35"/>
  <c r="K16" i="35"/>
  <c r="K15" i="35"/>
  <c r="K14" i="35"/>
  <c r="K23" i="36" l="1"/>
  <c r="K22" i="36"/>
  <c r="J24" i="36"/>
  <c r="I24" i="36"/>
  <c r="G23" i="36"/>
  <c r="F24" i="36"/>
  <c r="G24" i="36" s="1"/>
  <c r="E24" i="36"/>
  <c r="D24" i="36"/>
  <c r="C24" i="36"/>
  <c r="K18" i="36"/>
  <c r="K17" i="36"/>
  <c r="G11" i="34" l="1"/>
  <c r="K19" i="35"/>
  <c r="K6" i="35"/>
  <c r="K11" i="36"/>
  <c r="D31" i="34" l="1"/>
  <c r="J22" i="34" l="1"/>
  <c r="I22" i="34"/>
  <c r="F22" i="34"/>
  <c r="E22" i="34"/>
  <c r="D22" i="34"/>
  <c r="C22" i="34"/>
  <c r="C33" i="36"/>
  <c r="D33" i="36"/>
  <c r="E6" i="34"/>
  <c r="D6" i="34"/>
  <c r="D9" i="34" s="1"/>
  <c r="D14" i="34" s="1"/>
  <c r="C6" i="34"/>
  <c r="C9" i="34" s="1"/>
  <c r="G57" i="36"/>
  <c r="G56" i="36"/>
  <c r="K54" i="36"/>
  <c r="G54" i="36"/>
  <c r="K53" i="36"/>
  <c r="D53" i="36"/>
  <c r="C53" i="36"/>
  <c r="K52" i="36"/>
  <c r="G52" i="36"/>
  <c r="K51" i="36"/>
  <c r="G51" i="36"/>
  <c r="K49" i="36"/>
  <c r="G49" i="36"/>
  <c r="K48" i="36"/>
  <c r="D48" i="36"/>
  <c r="C48" i="36"/>
  <c r="K47" i="36"/>
  <c r="G47" i="36"/>
  <c r="K46" i="36"/>
  <c r="G46" i="36"/>
  <c r="K44" i="36"/>
  <c r="G44" i="36"/>
  <c r="K43" i="36"/>
  <c r="D43" i="36"/>
  <c r="C43" i="36"/>
  <c r="K42" i="36"/>
  <c r="G42" i="36"/>
  <c r="K41" i="36"/>
  <c r="G41" i="36"/>
  <c r="I39" i="36"/>
  <c r="F39" i="36"/>
  <c r="D39" i="36"/>
  <c r="C39" i="36"/>
  <c r="K38" i="36"/>
  <c r="G38" i="36"/>
  <c r="K37" i="36"/>
  <c r="G37" i="36"/>
  <c r="K36" i="36"/>
  <c r="G36" i="36"/>
  <c r="K34" i="36"/>
  <c r="G34" i="36"/>
  <c r="I33" i="36"/>
  <c r="F33" i="36"/>
  <c r="K32" i="36"/>
  <c r="G32" i="36"/>
  <c r="K31" i="36"/>
  <c r="G31" i="36"/>
  <c r="K30" i="36"/>
  <c r="G30" i="36"/>
  <c r="K29" i="36"/>
  <c r="G29" i="36"/>
  <c r="K21" i="36"/>
  <c r="K20" i="36"/>
  <c r="J16" i="36"/>
  <c r="J19" i="36" s="1"/>
  <c r="I16" i="36"/>
  <c r="I19" i="36" s="1"/>
  <c r="F16" i="36"/>
  <c r="E16" i="36"/>
  <c r="E19" i="36" s="1"/>
  <c r="E25" i="36" s="1"/>
  <c r="D16" i="36"/>
  <c r="K14" i="36"/>
  <c r="G14" i="36"/>
  <c r="K12" i="36"/>
  <c r="G12" i="36"/>
  <c r="K10" i="36"/>
  <c r="G10" i="36"/>
  <c r="K9" i="36"/>
  <c r="G9" i="36"/>
  <c r="K8" i="36"/>
  <c r="G8" i="36"/>
  <c r="K7" i="36"/>
  <c r="G7" i="36"/>
  <c r="C16" i="36"/>
  <c r="J6" i="36"/>
  <c r="I6" i="36"/>
  <c r="F6" i="36"/>
  <c r="E6" i="36"/>
  <c r="E13" i="36" s="1"/>
  <c r="D6" i="36"/>
  <c r="C6" i="36"/>
  <c r="C14" i="36" s="1"/>
  <c r="C19" i="36" s="1"/>
  <c r="K5" i="36"/>
  <c r="G5" i="36"/>
  <c r="K4" i="36"/>
  <c r="G4" i="36"/>
  <c r="K36" i="35"/>
  <c r="G36" i="35"/>
  <c r="K35" i="35"/>
  <c r="G35" i="35"/>
  <c r="K33" i="35"/>
  <c r="K32" i="35"/>
  <c r="K31" i="35"/>
  <c r="K30" i="35"/>
  <c r="K29" i="35"/>
  <c r="K28" i="35"/>
  <c r="G28" i="35"/>
  <c r="K27" i="35"/>
  <c r="F26" i="35"/>
  <c r="J26" i="35"/>
  <c r="I26" i="35"/>
  <c r="E26" i="35"/>
  <c r="E24" i="35" s="1"/>
  <c r="D26" i="35"/>
  <c r="D24" i="35" s="1"/>
  <c r="K25" i="35"/>
  <c r="C24" i="35"/>
  <c r="K12" i="35"/>
  <c r="G12" i="35"/>
  <c r="K11" i="35"/>
  <c r="G11" i="35"/>
  <c r="K10" i="35"/>
  <c r="G10" i="35"/>
  <c r="K9" i="35"/>
  <c r="G9" i="35"/>
  <c r="J8" i="35"/>
  <c r="K8" i="35" s="1"/>
  <c r="I8" i="35"/>
  <c r="I13" i="35" s="1"/>
  <c r="I17" i="35" s="1"/>
  <c r="I20" i="35" s="1"/>
  <c r="F8" i="35"/>
  <c r="F13" i="35" s="1"/>
  <c r="F17" i="35" s="1"/>
  <c r="E8" i="35"/>
  <c r="D8" i="35"/>
  <c r="C8" i="35"/>
  <c r="C13" i="35" s="1"/>
  <c r="C17" i="35" s="1"/>
  <c r="C20" i="35" s="1"/>
  <c r="K7" i="35"/>
  <c r="G7" i="35"/>
  <c r="K5" i="35"/>
  <c r="G5" i="35"/>
  <c r="D13" i="35"/>
  <c r="D17" i="35" s="1"/>
  <c r="D20" i="35" s="1"/>
  <c r="K4" i="35"/>
  <c r="J13" i="35"/>
  <c r="J17" i="35" s="1"/>
  <c r="J20" i="35" s="1"/>
  <c r="K50" i="34"/>
  <c r="G50" i="34"/>
  <c r="K48" i="34"/>
  <c r="G48" i="34"/>
  <c r="J46" i="34"/>
  <c r="I46" i="34"/>
  <c r="F46" i="34"/>
  <c r="E46" i="34"/>
  <c r="D46" i="34"/>
  <c r="K43" i="34"/>
  <c r="G43" i="34"/>
  <c r="K42" i="34"/>
  <c r="G42" i="34"/>
  <c r="J41" i="34"/>
  <c r="F41" i="34"/>
  <c r="F44" i="34" s="1"/>
  <c r="F47" i="34" s="1"/>
  <c r="E41" i="34"/>
  <c r="E44" i="34" s="1"/>
  <c r="E47" i="34" s="1"/>
  <c r="C41" i="34"/>
  <c r="K40" i="34"/>
  <c r="G40" i="34"/>
  <c r="K39" i="34"/>
  <c r="G39" i="34"/>
  <c r="D41" i="34"/>
  <c r="D44" i="34" s="1"/>
  <c r="D47" i="34" s="1"/>
  <c r="D49" i="34" s="1"/>
  <c r="G35" i="34"/>
  <c r="I32" i="34"/>
  <c r="D32" i="34"/>
  <c r="I31" i="34"/>
  <c r="K29" i="34"/>
  <c r="G29" i="34"/>
  <c r="K28" i="34"/>
  <c r="G28" i="34"/>
  <c r="J27" i="34"/>
  <c r="I27" i="34"/>
  <c r="I24" i="34" s="1"/>
  <c r="F27" i="34"/>
  <c r="D27" i="34"/>
  <c r="D24" i="34" s="1"/>
  <c r="K26" i="34"/>
  <c r="G26" i="34"/>
  <c r="K25" i="34"/>
  <c r="G25" i="34"/>
  <c r="E23" i="34"/>
  <c r="G23" i="34" s="1"/>
  <c r="K18" i="34"/>
  <c r="J32" i="34"/>
  <c r="F32" i="34"/>
  <c r="E32" i="34"/>
  <c r="C32" i="34"/>
  <c r="K17" i="34"/>
  <c r="J31" i="34"/>
  <c r="F31" i="34"/>
  <c r="E31" i="34"/>
  <c r="C31" i="34"/>
  <c r="K15" i="34"/>
  <c r="G15" i="34"/>
  <c r="C21" i="34"/>
  <c r="K13" i="34"/>
  <c r="G13" i="34"/>
  <c r="K12" i="34"/>
  <c r="G12" i="34"/>
  <c r="E27" i="34"/>
  <c r="E24" i="34" s="1"/>
  <c r="C27" i="34"/>
  <c r="C24" i="34" s="1"/>
  <c r="D23" i="34"/>
  <c r="C23" i="34"/>
  <c r="K10" i="34"/>
  <c r="G10" i="34"/>
  <c r="F14" i="34"/>
  <c r="K8" i="34"/>
  <c r="G8" i="34"/>
  <c r="K7" i="34"/>
  <c r="G7" i="34"/>
  <c r="J6" i="34"/>
  <c r="J9" i="34" s="1"/>
  <c r="K5" i="34"/>
  <c r="G5" i="34"/>
  <c r="K4" i="34"/>
  <c r="I6" i="34"/>
  <c r="I9" i="34" s="1"/>
  <c r="I14" i="34" s="1"/>
  <c r="G4" i="34"/>
  <c r="E9" i="34"/>
  <c r="E14" i="34" s="1"/>
  <c r="K26" i="35" l="1"/>
  <c r="G16" i="36"/>
  <c r="F19" i="36"/>
  <c r="G19" i="36" s="1"/>
  <c r="G41" i="34"/>
  <c r="G26" i="35"/>
  <c r="K31" i="34"/>
  <c r="K32" i="34"/>
  <c r="C30" i="34"/>
  <c r="D21" i="34"/>
  <c r="D30" i="34" s="1"/>
  <c r="D14" i="36"/>
  <c r="D19" i="36" s="1"/>
  <c r="D25" i="36" s="1"/>
  <c r="C25" i="36"/>
  <c r="F13" i="36"/>
  <c r="G13" i="36" s="1"/>
  <c r="I13" i="36"/>
  <c r="K6" i="36"/>
  <c r="G6" i="36"/>
  <c r="J13" i="36"/>
  <c r="K16" i="36"/>
  <c r="K19" i="36"/>
  <c r="I25" i="36"/>
  <c r="G8" i="35"/>
  <c r="K27" i="34"/>
  <c r="C44" i="34"/>
  <c r="G46" i="34"/>
  <c r="G32" i="34"/>
  <c r="E49" i="34"/>
  <c r="G6" i="34"/>
  <c r="F20" i="35"/>
  <c r="C33" i="34"/>
  <c r="K20" i="35"/>
  <c r="F24" i="35"/>
  <c r="G24" i="35" s="1"/>
  <c r="G31" i="34"/>
  <c r="K9" i="34"/>
  <c r="J14" i="34"/>
  <c r="E21" i="34"/>
  <c r="E30" i="34" s="1"/>
  <c r="E33" i="34" s="1"/>
  <c r="E16" i="34"/>
  <c r="F21" i="34"/>
  <c r="F16" i="34"/>
  <c r="G14" i="34"/>
  <c r="G22" i="34"/>
  <c r="G47" i="34"/>
  <c r="F49" i="34"/>
  <c r="F25" i="36"/>
  <c r="G25" i="36" s="1"/>
  <c r="K6" i="34"/>
  <c r="G9" i="34"/>
  <c r="G17" i="34"/>
  <c r="G18" i="34"/>
  <c r="K22" i="34"/>
  <c r="J24" i="34"/>
  <c r="G44" i="34"/>
  <c r="K46" i="34"/>
  <c r="J39" i="36"/>
  <c r="K39" i="36" s="1"/>
  <c r="I21" i="34"/>
  <c r="I30" i="34" s="1"/>
  <c r="I33" i="34" s="1"/>
  <c r="I16" i="34"/>
  <c r="I19" i="34" s="1"/>
  <c r="E13" i="35"/>
  <c r="E17" i="35" s="1"/>
  <c r="E20" i="35" s="1"/>
  <c r="G4" i="35"/>
  <c r="G27" i="34"/>
  <c r="I41" i="34"/>
  <c r="I44" i="34" s="1"/>
  <c r="I47" i="34" s="1"/>
  <c r="I49" i="34" s="1"/>
  <c r="I24" i="35"/>
  <c r="J33" i="36"/>
  <c r="K33" i="36" s="1"/>
  <c r="E39" i="36"/>
  <c r="G39" i="36" s="1"/>
  <c r="E53" i="36"/>
  <c r="G53" i="36" s="1"/>
  <c r="C16" i="34"/>
  <c r="F24" i="34"/>
  <c r="K41" i="34"/>
  <c r="J44" i="34"/>
  <c r="K13" i="35"/>
  <c r="K17" i="35" s="1"/>
  <c r="J24" i="35"/>
  <c r="E33" i="36"/>
  <c r="G33" i="36" s="1"/>
  <c r="E43" i="36"/>
  <c r="G43" i="36" s="1"/>
  <c r="E48" i="36"/>
  <c r="G48" i="36" s="1"/>
  <c r="D16" i="34"/>
  <c r="D33" i="34" l="1"/>
  <c r="D34" i="34" s="1"/>
  <c r="G20" i="35"/>
  <c r="G17" i="35"/>
  <c r="K13" i="36"/>
  <c r="F30" i="34"/>
  <c r="K24" i="34"/>
  <c r="I34" i="34"/>
  <c r="G13" i="35"/>
  <c r="E34" i="34"/>
  <c r="E19" i="34"/>
  <c r="G49" i="34"/>
  <c r="G24" i="34"/>
  <c r="C34" i="34"/>
  <c r="C19" i="34"/>
  <c r="D19" i="34"/>
  <c r="G21" i="34"/>
  <c r="K44" i="34"/>
  <c r="J47" i="34"/>
  <c r="J25" i="36"/>
  <c r="K25" i="36" s="1"/>
  <c r="K24" i="36"/>
  <c r="J21" i="34"/>
  <c r="J16" i="34"/>
  <c r="K14" i="34"/>
  <c r="K24" i="35"/>
  <c r="F19" i="34"/>
  <c r="G16" i="34"/>
  <c r="K21" i="34" l="1"/>
  <c r="J30" i="34"/>
  <c r="F33" i="34"/>
  <c r="G30" i="34"/>
  <c r="C51" i="34"/>
  <c r="D51" i="34"/>
  <c r="F51" i="34"/>
  <c r="G19" i="34"/>
  <c r="K16" i="34"/>
  <c r="J19" i="34"/>
  <c r="K19" i="34" s="1"/>
  <c r="K47" i="34"/>
  <c r="J49" i="34"/>
  <c r="K49" i="34" s="1"/>
  <c r="F36" i="34" l="1"/>
  <c r="F34" i="34"/>
  <c r="G34" i="34" s="1"/>
  <c r="G33" i="34"/>
  <c r="J33" i="34"/>
  <c r="K30" i="34"/>
  <c r="G51" i="34"/>
  <c r="K33" i="34" l="1"/>
  <c r="J34" i="34"/>
  <c r="K34" i="34" s="1"/>
  <c r="G36" i="34"/>
  <c r="F37" i="34"/>
  <c r="G37" i="34" s="1"/>
</calcChain>
</file>

<file path=xl/sharedStrings.xml><?xml version="1.0" encoding="utf-8"?>
<sst xmlns="http://schemas.openxmlformats.org/spreadsheetml/2006/main" count="248" uniqueCount="106">
  <si>
    <t>Financials</t>
  </si>
  <si>
    <t>Distribution</t>
  </si>
  <si>
    <t>EBITDA</t>
  </si>
  <si>
    <t>EBITDA + Capex reimbursements</t>
  </si>
  <si>
    <t>Free Cash Flow (before interest &amp; tax)</t>
  </si>
  <si>
    <t>Retail</t>
  </si>
  <si>
    <t>Free Cash Flow (after interest &amp; tax)</t>
  </si>
  <si>
    <t>Capex outperformance</t>
  </si>
  <si>
    <t>Opex outperformance</t>
  </si>
  <si>
    <t>T&amp;L outperformance</t>
  </si>
  <si>
    <t>Tax correction</t>
  </si>
  <si>
    <t>Theft accrual &amp; collection</t>
  </si>
  <si>
    <t>Other</t>
  </si>
  <si>
    <t>Capex reimbursements</t>
  </si>
  <si>
    <t>Capex</t>
  </si>
  <si>
    <t>Opex</t>
  </si>
  <si>
    <t>% outperformance</t>
  </si>
  <si>
    <t>Churn rates (%)</t>
  </si>
  <si>
    <t>Late payment income</t>
  </si>
  <si>
    <t>Overspending (%)</t>
  </si>
  <si>
    <t>Financial result</t>
  </si>
  <si>
    <t>Income tax</t>
  </si>
  <si>
    <t>Weighted average cost of financing (%)</t>
  </si>
  <si>
    <t>Delta</t>
  </si>
  <si>
    <t>Operations</t>
  </si>
  <si>
    <t>Net Income</t>
  </si>
  <si>
    <t>Efficiency &amp; Quality</t>
  </si>
  <si>
    <t>Operational Earnings</t>
  </si>
  <si>
    <t>Financial income not yet cash-effective</t>
  </si>
  <si>
    <t>Operating Cash Flow (before interest &amp; tax)</t>
  </si>
  <si>
    <t>Actual allowed Capex</t>
  </si>
  <si>
    <t>Cash-effective Capex</t>
  </si>
  <si>
    <t>Regulated gross profit</t>
  </si>
  <si>
    <t>Bad debt related income and expense</t>
  </si>
  <si>
    <t>Doubtful provision expense</t>
  </si>
  <si>
    <t>Bonus collection</t>
  </si>
  <si>
    <t>Delta NWC</t>
  </si>
  <si>
    <t xml:space="preserve">Consolidated </t>
  </si>
  <si>
    <t>Underlying Net Income</t>
  </si>
  <si>
    <t>Depreciation &amp; Amortization</t>
  </si>
  <si>
    <t>Payout ratio</t>
  </si>
  <si>
    <t>Interest payments (net)</t>
  </si>
  <si>
    <t>Tax payments</t>
  </si>
  <si>
    <t>Net debt/Operational earnings</t>
  </si>
  <si>
    <t>Net debt (Closing Balance)</t>
  </si>
  <si>
    <t>Net debt (Opening Balance)</t>
  </si>
  <si>
    <t>Dividend payment</t>
  </si>
  <si>
    <t>Other (FX &amp; accruals)</t>
  </si>
  <si>
    <t>RAB (Opening Balance)</t>
  </si>
  <si>
    <t>RAB (Closing Balance)</t>
  </si>
  <si>
    <t>Revaluation of opening balance</t>
  </si>
  <si>
    <t>Initial allowed Capex (real)</t>
  </si>
  <si>
    <t>Initial allowed Capex (nominal)</t>
  </si>
  <si>
    <t>Corporate</t>
  </si>
  <si>
    <t>Residential &amp; SME</t>
  </si>
  <si>
    <t>Gross profit margin (%)</t>
  </si>
  <si>
    <t>Regulated (%)</t>
  </si>
  <si>
    <t>Network length (km)</t>
  </si>
  <si>
    <t>Network connections (m)</t>
  </si>
  <si>
    <t>Sales volume (TWh)</t>
  </si>
  <si>
    <t>Regulated (TWh)</t>
  </si>
  <si>
    <t>Total Distributed Energy (TWh)</t>
  </si>
  <si>
    <t>n.a.</t>
  </si>
  <si>
    <t>Customer number (m)</t>
  </si>
  <si>
    <t>Dividends (fiscal year perspective)</t>
  </si>
  <si>
    <t>Deposit valuation expenses</t>
  </si>
  <si>
    <t>Earnings per share (kr)</t>
  </si>
  <si>
    <t>Dividend per share (kr)</t>
  </si>
  <si>
    <t>1Q</t>
  </si>
  <si>
    <t>Unpaid and previous year Capex</t>
  </si>
  <si>
    <t>Customer solutions gross profit</t>
  </si>
  <si>
    <t>FY</t>
  </si>
  <si>
    <t>Liberalised (TWh)</t>
  </si>
  <si>
    <t>Liberalised (%)</t>
  </si>
  <si>
    <t>T&amp;L Ayedaş</t>
  </si>
  <si>
    <t>T&amp;L Başkent</t>
  </si>
  <si>
    <t>T&amp;L Toroslar</t>
  </si>
  <si>
    <t>Interest income related to revenue cap  regulation</t>
  </si>
  <si>
    <t>Fair value changes of financial assets</t>
  </si>
  <si>
    <t>Adjustment of depreciation and amortization</t>
  </si>
  <si>
    <t>Quality bonus</t>
  </si>
  <si>
    <t>16-17</t>
  </si>
  <si>
    <t>17-18</t>
  </si>
  <si>
    <t>Financial Income</t>
  </si>
  <si>
    <t>WACC (real in %)</t>
  </si>
  <si>
    <t>Power Retail Capex</t>
  </si>
  <si>
    <t>Customer Solutions Capex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</si>
  <si>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</si>
  <si>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</si>
  <si>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</si>
  <si>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</si>
  <si>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</si>
  <si>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</si>
  <si>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TradeCo-related pro-forma EBITDA adjustment</t>
  </si>
  <si>
    <t>Adjustments related to deposit valuation expense</t>
  </si>
  <si>
    <t>Non-recurring income related to prior fiscal years</t>
  </si>
  <si>
    <t>Financial expense/income (incl. FX gains/losses)</t>
  </si>
  <si>
    <t>-</t>
  </si>
  <si>
    <t>Liberalised gross profit</t>
  </si>
  <si>
    <t>Target</t>
  </si>
  <si>
    <t>Actual rate</t>
  </si>
  <si>
    <t>Net VAT received/paid</t>
  </si>
  <si>
    <t>VAT paid</t>
  </si>
  <si>
    <t>Price equalization effects</t>
  </si>
  <si>
    <t>Net deposit additions</t>
  </si>
  <si>
    <t>Other (delta NWC)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</si>
</sst>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₺_-;\-* #,##0.00\ _₺_-;_-* &quot;-&quot;??\ _₺_-;_-@_-"/>
    <numFmt numFmtId="165" formatCode="0.0%"/>
    <numFmt numFmtId="166" formatCode="#,##0.0"/>
    <numFmt numFmtId="167" formatCode="#,##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6" fillId="0" borderId="0"/>
  </cellStyleXfs>
  <cellXfs count="75">
    <xf numFmtId="0" fontId="0" fillId="0" borderId="0" xfId="0"/>
    <xf numFmtId="3" fontId="0" fillId="0" borderId="0" xfId="0" applyNumberFormat="1" applyAlignment="1">
      <alignment horizontal="right" indent="1"/>
    </xf>
    <xf numFmtId="0" fontId="0" fillId="0" borderId="1" xfId="0" applyBorder="1"/>
    <xf numFmtId="3" fontId="0" fillId="0" borderId="0" xfId="0" applyNumberFormat="1"/>
    <xf numFmtId="3" fontId="0" fillId="0" borderId="2" xfId="0" applyNumberFormat="1" applyFill="1" applyBorder="1" applyAlignment="1">
      <alignment horizontal="right" indent="1"/>
    </xf>
    <xf numFmtId="0" fontId="0" fillId="0" borderId="1" xfId="0" applyFill="1" applyBorder="1"/>
    <xf numFmtId="3" fontId="0" fillId="0" borderId="2" xfId="0" applyNumberFormat="1" applyBorder="1" applyAlignment="1">
      <alignment horizontal="right" indent="1"/>
    </xf>
    <xf numFmtId="165" fontId="0" fillId="0" borderId="2" xfId="1" applyNumberFormat="1" applyFont="1" applyBorder="1" applyAlignment="1">
      <alignment horizontal="right" indent="1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165" fontId="2" fillId="0" borderId="2" xfId="1" applyNumberFormat="1" applyFont="1" applyFill="1" applyBorder="1" applyAlignment="1">
      <alignment horizontal="right" indent="1"/>
    </xf>
    <xf numFmtId="0" fontId="0" fillId="0" borderId="1" xfId="0" applyFill="1" applyBorder="1" applyAlignment="1">
      <alignment horizontal="left" indent="1"/>
    </xf>
    <xf numFmtId="0" fontId="0" fillId="0" borderId="0" xfId="0" applyFill="1"/>
    <xf numFmtId="166" fontId="0" fillId="0" borderId="2" xfId="0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/>
    <xf numFmtId="3" fontId="4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3" fontId="2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166" fontId="4" fillId="0" borderId="2" xfId="0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0" fontId="0" fillId="0" borderId="0" xfId="0"/>
    <xf numFmtId="4" fontId="0" fillId="0" borderId="0" xfId="0" applyNumberFormat="1"/>
    <xf numFmtId="3" fontId="4" fillId="0" borderId="2" xfId="0" applyNumberFormat="1" applyFont="1" applyFill="1" applyBorder="1" applyAlignment="1"/>
    <xf numFmtId="166" fontId="0" fillId="0" borderId="0" xfId="0" applyNumberFormat="1"/>
    <xf numFmtId="4" fontId="5" fillId="0" borderId="2" xfId="0" applyNumberFormat="1" applyFont="1" applyFill="1" applyBorder="1" applyAlignment="1">
      <alignment horizontal="right" indent="1"/>
    </xf>
    <xf numFmtId="167" fontId="0" fillId="0" borderId="0" xfId="0" applyNumberFormat="1"/>
    <xf numFmtId="9" fontId="0" fillId="0" borderId="0" xfId="1" applyFont="1"/>
    <xf numFmtId="3" fontId="0" fillId="0" borderId="2" xfId="0" quotePrefix="1" applyNumberFormat="1" applyFill="1" applyBorder="1" applyAlignment="1">
      <alignment horizontal="right" indent="1"/>
    </xf>
    <xf numFmtId="3" fontId="0" fillId="0" borderId="2" xfId="0" quotePrefix="1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0" fontId="5" fillId="0" borderId="0" xfId="0" applyFont="1" applyFill="1"/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166" fontId="3" fillId="2" borderId="2" xfId="0" applyNumberFormat="1" applyFont="1" applyFill="1" applyBorder="1" applyAlignment="1">
      <alignment horizontal="right" indent="1"/>
    </xf>
    <xf numFmtId="165" fontId="3" fillId="2" borderId="2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indent="1"/>
    </xf>
    <xf numFmtId="0" fontId="0" fillId="0" borderId="0" xfId="0" applyFill="1" applyAlignment="1">
      <alignment horizontal="right" indent="1"/>
    </xf>
    <xf numFmtId="165" fontId="8" fillId="2" borderId="2" xfId="1" applyNumberFormat="1" applyFont="1" applyFill="1" applyBorder="1" applyAlignment="1">
      <alignment horizontal="right" indent="1"/>
    </xf>
    <xf numFmtId="3" fontId="8" fillId="2" borderId="2" xfId="0" applyNumberFormat="1" applyFont="1" applyFill="1" applyBorder="1" applyAlignment="1">
      <alignment horizontal="right" indent="1"/>
    </xf>
    <xf numFmtId="0" fontId="8" fillId="0" borderId="0" xfId="0" applyFont="1" applyFill="1" applyAlignment="1">
      <alignment horizontal="right" indent="1"/>
    </xf>
    <xf numFmtId="0" fontId="8" fillId="0" borderId="0" xfId="0" applyFont="1" applyFill="1"/>
    <xf numFmtId="0" fontId="4" fillId="0" borderId="2" xfId="0" applyFont="1" applyFill="1" applyBorder="1" applyAlignment="1">
      <alignment horizontal="center"/>
    </xf>
    <xf numFmtId="166" fontId="3" fillId="2" borderId="2" xfId="0" quotePrefix="1" applyNumberFormat="1" applyFont="1" applyFill="1" applyBorder="1" applyAlignment="1">
      <alignment horizontal="right" indent="1"/>
    </xf>
    <xf numFmtId="0" fontId="0" fillId="0" borderId="0" xfId="0" applyFont="1" applyFill="1" applyBorder="1"/>
    <xf numFmtId="0" fontId="4" fillId="0" borderId="3" xfId="0" applyFont="1" applyFill="1" applyBorder="1"/>
    <xf numFmtId="0" fontId="4" fillId="0" borderId="4" xfId="0" applyFont="1" applyFill="1" applyBorder="1" applyAlignment="1">
      <alignment horizontal="center"/>
    </xf>
    <xf numFmtId="16" fontId="4" fillId="0" borderId="4" xfId="0" quotePrefix="1" applyNumberFormat="1" applyFont="1" applyFill="1" applyBorder="1" applyAlignment="1">
      <alignment horizontal="center"/>
    </xf>
    <xf numFmtId="0" fontId="8" fillId="0" borderId="0" xfId="0" applyFont="1" applyFill="1" applyBorder="1"/>
    <xf numFmtId="0" fontId="9" fillId="0" borderId="3" xfId="0" applyFont="1" applyFill="1" applyBorder="1"/>
    <xf numFmtId="0" fontId="9" fillId="0" borderId="4" xfId="0" applyFont="1" applyFill="1" applyBorder="1" applyAlignment="1">
      <alignment horizontal="center"/>
    </xf>
    <xf numFmtId="16" fontId="9" fillId="0" borderId="4" xfId="0" quotePrefix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3" fontId="0" fillId="0" borderId="2" xfId="0" applyNumberFormat="1" applyFill="1" applyBorder="1" applyAlignment="1"/>
    <xf numFmtId="0" fontId="0" fillId="0" borderId="0" xfId="0" applyAlignment="1"/>
    <xf numFmtId="3" fontId="3" fillId="2" borderId="2" xfId="0" applyNumberFormat="1" applyFont="1" applyFill="1" applyBorder="1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</cellXfs>
  <cellStyles count="13">
    <cellStyle name="Comma 2" xfId="5"/>
    <cellStyle name="Comma 3" xfId="6"/>
    <cellStyle name="Normal" xfId="0" builtinId="0"/>
    <cellStyle name="Normal 10 2 3" xfId="12"/>
    <cellStyle name="Normal 111 2" xfId="7"/>
    <cellStyle name="Normal 14 4" xfId="11"/>
    <cellStyle name="Normal 2" xfId="2"/>
    <cellStyle name="Normal 2 2" xfId="8"/>
    <cellStyle name="Normal 69" xfId="3"/>
    <cellStyle name="Percent" xfId="1" builtinId="5"/>
    <cellStyle name="Percent 17" xfId="4"/>
    <cellStyle name="Percent 2" xfId="9"/>
    <cellStyle name="Percent 2 2" xfId="10"/>
  </cellStyles>
  <dxfs count="0"/>
  <tableStyles count="0" defaultTableStyle="TableStyleMedium2" defaultPivotStyle="PivotStyleLight16"/>
  <colors>
    <mruColors>
      <color rgb="FFFFC000"/>
      <color rgb="FFED7D31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EZ62"/>
  <sheetViews>
    <sheetView showGridLines="0" tabSelected="1" workbookViewId="0">
      <selection activeCell="B2" sqref="B2"/>
    </sheetView>
  </sheetViews>
  <sheetFormatPr defaultColWidth="8.81640625" defaultRowHeight="14.5" x14ac:dyDescent="0.35"/>
  <cols>
    <col min="1" max="1" width="8.81640625" style="31"/>
    <col min="2" max="2" width="54.1796875" style="31" customWidth="1"/>
    <col min="3" max="7" width="10.7265625" style="31" customWidth="1"/>
    <col min="8" max="8" width="1.7265625" style="25" customWidth="1"/>
    <col min="9" max="11" width="10.7265625" style="31" customWidth="1"/>
    <col min="12" max="16384" width="8.81640625" style="31"/>
  </cols>
  <sheetData>
    <row r="1" spans="2:21" x14ac:dyDescent="0.35">
      <c r="C1" s="3"/>
      <c r="D1" s="3"/>
      <c r="E1" s="3"/>
      <c r="F1" s="26"/>
      <c r="G1" s="26"/>
      <c r="I1" s="3"/>
      <c r="J1" s="26"/>
      <c r="K1" s="26"/>
    </row>
    <row r="2" spans="2:21" x14ac:dyDescent="0.35">
      <c r="B2" s="19" t="s">
        <v>37</v>
      </c>
      <c r="C2" s="55" t="s">
        <v>71</v>
      </c>
      <c r="D2" s="55" t="s">
        <v>71</v>
      </c>
      <c r="E2" s="55" t="s">
        <v>71</v>
      </c>
      <c r="F2" s="55" t="s">
        <v>71</v>
      </c>
      <c r="G2" s="55" t="s">
        <v>23</v>
      </c>
      <c r="H2" s="57"/>
      <c r="I2" s="55" t="s">
        <v>68</v>
      </c>
      <c r="J2" s="55" t="s">
        <v>68</v>
      </c>
      <c r="K2" s="55" t="s">
        <v>23</v>
      </c>
    </row>
    <row r="3" spans="2:21" ht="15" thickBot="1" x14ac:dyDescent="0.4">
      <c r="B3" s="58" t="s">
        <v>0</v>
      </c>
      <c r="C3" s="59">
        <v>2014</v>
      </c>
      <c r="D3" s="59">
        <v>2015</v>
      </c>
      <c r="E3" s="59">
        <v>2016</v>
      </c>
      <c r="F3" s="59">
        <v>2017</v>
      </c>
      <c r="G3" s="60" t="s">
        <v>81</v>
      </c>
      <c r="H3" s="57"/>
      <c r="I3" s="59">
        <v>2017</v>
      </c>
      <c r="J3" s="59">
        <v>2018</v>
      </c>
      <c r="K3" s="60" t="s">
        <v>82</v>
      </c>
    </row>
    <row r="4" spans="2:21" x14ac:dyDescent="0.35">
      <c r="B4" s="8" t="s">
        <v>87</v>
      </c>
      <c r="C4" s="9">
        <v>8064.4210000000003</v>
      </c>
      <c r="D4" s="9">
        <v>9153.6139999999996</v>
      </c>
      <c r="E4" s="9">
        <v>9103.3799999999992</v>
      </c>
      <c r="F4" s="9">
        <v>12345</v>
      </c>
      <c r="G4" s="9">
        <f t="shared" ref="G4:G34" si="0">F4-E4</f>
        <v>3241.6200000000008</v>
      </c>
      <c r="I4" s="9">
        <v>2726</v>
      </c>
      <c r="J4" s="9">
        <v>4070</v>
      </c>
      <c r="K4" s="9">
        <f>J4-I4</f>
        <v>1344</v>
      </c>
      <c r="M4" s="3"/>
      <c r="N4" s="3"/>
      <c r="O4" s="3"/>
      <c r="P4" s="3"/>
      <c r="Q4" s="3"/>
      <c r="R4" s="32"/>
      <c r="S4" s="3"/>
      <c r="T4" s="3"/>
      <c r="U4" s="3"/>
    </row>
    <row r="5" spans="2:21" x14ac:dyDescent="0.35">
      <c r="B5" s="8" t="s">
        <v>88</v>
      </c>
      <c r="C5" s="9">
        <v>-6753.5110000000004</v>
      </c>
      <c r="D5" s="9">
        <v>-7108.12</v>
      </c>
      <c r="E5" s="9">
        <v>-6500.9560000000001</v>
      </c>
      <c r="F5" s="9">
        <v>-8412</v>
      </c>
      <c r="G5" s="9">
        <f t="shared" si="0"/>
        <v>-1911.0439999999999</v>
      </c>
      <c r="I5" s="9">
        <v>-1971</v>
      </c>
      <c r="J5" s="9">
        <v>-3045</v>
      </c>
      <c r="K5" s="9">
        <f t="shared" ref="K5:K34" si="1">J5-I5</f>
        <v>-1074</v>
      </c>
      <c r="M5" s="3"/>
      <c r="N5" s="3"/>
      <c r="O5" s="3"/>
      <c r="P5" s="3"/>
      <c r="Q5" s="3"/>
      <c r="R5" s="32"/>
      <c r="S5" s="3"/>
      <c r="T5" s="3"/>
      <c r="U5" s="3"/>
    </row>
    <row r="6" spans="2:21" x14ac:dyDescent="0.35">
      <c r="B6" s="44" t="s">
        <v>89</v>
      </c>
      <c r="C6" s="45">
        <f t="shared" ref="C6:E6" si="2">SUM(C4:C5)</f>
        <v>1310.9099999999999</v>
      </c>
      <c r="D6" s="45">
        <f t="shared" si="2"/>
        <v>2045.4939999999997</v>
      </c>
      <c r="E6" s="45">
        <f t="shared" si="2"/>
        <v>2602.4239999999991</v>
      </c>
      <c r="F6" s="45">
        <v>3932</v>
      </c>
      <c r="G6" s="45">
        <f t="shared" si="0"/>
        <v>1329.5760000000009</v>
      </c>
      <c r="H6" s="61"/>
      <c r="I6" s="45">
        <f t="shared" ref="I6:J6" si="3">SUM(I4:I5)</f>
        <v>755</v>
      </c>
      <c r="J6" s="45">
        <f t="shared" si="3"/>
        <v>1025</v>
      </c>
      <c r="K6" s="45">
        <f t="shared" si="1"/>
        <v>270</v>
      </c>
      <c r="M6" s="3"/>
      <c r="N6" s="3"/>
      <c r="O6" s="3"/>
      <c r="P6" s="3"/>
      <c r="Q6" s="3"/>
      <c r="R6" s="32"/>
      <c r="S6" s="3"/>
      <c r="T6" s="3"/>
      <c r="U6" s="3"/>
    </row>
    <row r="7" spans="2:21" x14ac:dyDescent="0.35">
      <c r="B7" s="8" t="s">
        <v>90</v>
      </c>
      <c r="C7" s="9">
        <v>-967.3</v>
      </c>
      <c r="D7" s="9">
        <v>-1079.79</v>
      </c>
      <c r="E7" s="9">
        <v>-1228</v>
      </c>
      <c r="F7" s="9">
        <v>-1519</v>
      </c>
      <c r="G7" s="9">
        <f t="shared" si="0"/>
        <v>-291</v>
      </c>
      <c r="I7" s="9">
        <v>-340</v>
      </c>
      <c r="J7" s="9">
        <v>-415</v>
      </c>
      <c r="K7" s="9">
        <f t="shared" si="1"/>
        <v>-75</v>
      </c>
      <c r="M7" s="3"/>
      <c r="N7" s="3"/>
      <c r="O7" s="3"/>
      <c r="P7" s="3"/>
      <c r="Q7" s="3"/>
      <c r="R7" s="32"/>
      <c r="S7" s="3"/>
      <c r="T7" s="3"/>
      <c r="U7" s="3"/>
    </row>
    <row r="8" spans="2:21" x14ac:dyDescent="0.35">
      <c r="B8" s="8" t="s">
        <v>91</v>
      </c>
      <c r="C8" s="9">
        <v>-36</v>
      </c>
      <c r="D8" s="9">
        <v>72.599999999999994</v>
      </c>
      <c r="E8" s="9">
        <v>-102</v>
      </c>
      <c r="F8" s="9">
        <v>-173</v>
      </c>
      <c r="G8" s="9">
        <f t="shared" si="0"/>
        <v>-71</v>
      </c>
      <c r="I8" s="9">
        <v>-58</v>
      </c>
      <c r="J8" s="9">
        <v>-14</v>
      </c>
      <c r="K8" s="9">
        <f t="shared" si="1"/>
        <v>44</v>
      </c>
      <c r="M8" s="3"/>
      <c r="N8" s="3"/>
      <c r="O8" s="3"/>
      <c r="P8" s="3"/>
      <c r="Q8" s="3"/>
      <c r="R8" s="32"/>
      <c r="S8" s="3"/>
      <c r="T8" s="3"/>
      <c r="U8" s="3"/>
    </row>
    <row r="9" spans="2:21" x14ac:dyDescent="0.35">
      <c r="B9" s="44" t="s">
        <v>92</v>
      </c>
      <c r="C9" s="45">
        <f>SUM(C6:C8)</f>
        <v>307.6099999999999</v>
      </c>
      <c r="D9" s="45">
        <f t="shared" ref="D9:E9" si="4">SUM(D6:D8)</f>
        <v>1038.3039999999996</v>
      </c>
      <c r="E9" s="45">
        <f t="shared" si="4"/>
        <v>1272.4239999999991</v>
      </c>
      <c r="F9" s="45">
        <v>2241</v>
      </c>
      <c r="G9" s="45">
        <f t="shared" si="0"/>
        <v>968.57600000000093</v>
      </c>
      <c r="H9" s="61"/>
      <c r="I9" s="45">
        <f>SUM(I6:I8)</f>
        <v>357</v>
      </c>
      <c r="J9" s="45">
        <f t="shared" ref="J9" si="5">SUM(J6:J8)</f>
        <v>596</v>
      </c>
      <c r="K9" s="45">
        <f t="shared" si="1"/>
        <v>239</v>
      </c>
      <c r="M9" s="3"/>
      <c r="N9" s="3"/>
      <c r="O9" s="3"/>
      <c r="P9" s="3"/>
      <c r="Q9" s="3"/>
      <c r="R9" s="32"/>
      <c r="S9" s="3"/>
      <c r="T9" s="3"/>
      <c r="U9" s="3"/>
    </row>
    <row r="10" spans="2:21" x14ac:dyDescent="0.35">
      <c r="B10" s="8" t="s">
        <v>79</v>
      </c>
      <c r="C10" s="9">
        <v>208.66300000000001</v>
      </c>
      <c r="D10" s="9">
        <v>219.4</v>
      </c>
      <c r="E10" s="9">
        <v>218</v>
      </c>
      <c r="F10" s="9">
        <v>235</v>
      </c>
      <c r="G10" s="9">
        <f t="shared" si="0"/>
        <v>17</v>
      </c>
      <c r="I10" s="9">
        <v>56</v>
      </c>
      <c r="J10" s="9">
        <v>61</v>
      </c>
      <c r="K10" s="9">
        <f t="shared" si="1"/>
        <v>5</v>
      </c>
      <c r="M10" s="3"/>
      <c r="N10" s="3"/>
      <c r="O10" s="3"/>
      <c r="P10" s="3"/>
      <c r="Q10" s="3"/>
      <c r="R10" s="32"/>
      <c r="S10" s="3"/>
      <c r="T10" s="3"/>
      <c r="U10" s="3"/>
    </row>
    <row r="11" spans="2:21" x14ac:dyDescent="0.35">
      <c r="B11" s="8" t="s">
        <v>93</v>
      </c>
      <c r="C11" s="9">
        <v>16</v>
      </c>
      <c r="D11" s="9">
        <v>-60</v>
      </c>
      <c r="E11" s="9">
        <v>-16</v>
      </c>
      <c r="F11" s="39" t="s">
        <v>97</v>
      </c>
      <c r="G11" s="9">
        <f>-E11</f>
        <v>16</v>
      </c>
      <c r="I11" s="39" t="s">
        <v>97</v>
      </c>
      <c r="J11" s="39" t="s">
        <v>97</v>
      </c>
      <c r="K11" s="39" t="s">
        <v>97</v>
      </c>
      <c r="M11" s="3"/>
      <c r="N11" s="3"/>
      <c r="O11" s="3"/>
      <c r="P11" s="3"/>
      <c r="Q11" s="3"/>
      <c r="R11" s="32"/>
      <c r="S11" s="3"/>
      <c r="T11" s="3"/>
      <c r="U11" s="3"/>
    </row>
    <row r="12" spans="2:21" x14ac:dyDescent="0.35">
      <c r="B12" s="8" t="s">
        <v>94</v>
      </c>
      <c r="C12" s="9">
        <v>43</v>
      </c>
      <c r="D12" s="9">
        <v>36</v>
      </c>
      <c r="E12" s="9">
        <v>40</v>
      </c>
      <c r="F12" s="9">
        <v>79</v>
      </c>
      <c r="G12" s="9">
        <f t="shared" si="0"/>
        <v>39</v>
      </c>
      <c r="I12" s="9">
        <v>30</v>
      </c>
      <c r="J12" s="9">
        <v>26</v>
      </c>
      <c r="K12" s="9">
        <f t="shared" si="1"/>
        <v>-4</v>
      </c>
      <c r="M12" s="3"/>
      <c r="N12" s="3"/>
      <c r="O12" s="3"/>
      <c r="P12" s="3"/>
      <c r="Q12" s="3"/>
      <c r="R12" s="32"/>
      <c r="S12" s="3"/>
      <c r="T12" s="3"/>
      <c r="U12" s="3"/>
    </row>
    <row r="13" spans="2:21" x14ac:dyDescent="0.35">
      <c r="B13" s="8" t="s">
        <v>77</v>
      </c>
      <c r="C13" s="9">
        <v>-5</v>
      </c>
      <c r="D13" s="9">
        <v>-2</v>
      </c>
      <c r="E13" s="9">
        <v>-19</v>
      </c>
      <c r="F13" s="9">
        <v>0</v>
      </c>
      <c r="G13" s="9">
        <f t="shared" si="0"/>
        <v>19</v>
      </c>
      <c r="I13" s="9">
        <v>0</v>
      </c>
      <c r="J13" s="9">
        <v>-8</v>
      </c>
      <c r="K13" s="9">
        <f t="shared" si="1"/>
        <v>-8</v>
      </c>
      <c r="M13" s="3"/>
      <c r="N13" s="3"/>
      <c r="O13" s="3"/>
      <c r="P13" s="3"/>
      <c r="Q13" s="3"/>
      <c r="R13" s="32"/>
      <c r="S13" s="3"/>
      <c r="T13" s="3"/>
      <c r="U13" s="3"/>
    </row>
    <row r="14" spans="2:21" x14ac:dyDescent="0.35">
      <c r="B14" s="44" t="s">
        <v>2</v>
      </c>
      <c r="C14" s="45">
        <v>569</v>
      </c>
      <c r="D14" s="45">
        <f>SUM(D9:D13)</f>
        <v>1231.7039999999997</v>
      </c>
      <c r="E14" s="45">
        <f>SUM(E9:E13)</f>
        <v>1495.4239999999991</v>
      </c>
      <c r="F14" s="45">
        <f t="shared" ref="F14" si="6">SUM(F9:F13)</f>
        <v>2555</v>
      </c>
      <c r="G14" s="45">
        <f t="shared" si="0"/>
        <v>1059.5760000000009</v>
      </c>
      <c r="H14" s="61"/>
      <c r="I14" s="45">
        <f t="shared" ref="I14" si="7">SUM(I9:I13)</f>
        <v>443</v>
      </c>
      <c r="J14" s="45">
        <f>SUM(J9:J13)+0.5</f>
        <v>675.5</v>
      </c>
      <c r="K14" s="45">
        <f t="shared" si="1"/>
        <v>232.5</v>
      </c>
      <c r="M14" s="3"/>
      <c r="N14" s="3"/>
      <c r="O14" s="3"/>
      <c r="P14" s="3"/>
      <c r="Q14" s="3"/>
      <c r="R14" s="32"/>
      <c r="S14" s="3"/>
      <c r="T14" s="3"/>
      <c r="U14" s="3"/>
    </row>
    <row r="15" spans="2:21" x14ac:dyDescent="0.35">
      <c r="B15" s="2" t="s">
        <v>13</v>
      </c>
      <c r="C15" s="4">
        <v>210</v>
      </c>
      <c r="D15" s="4">
        <v>200</v>
      </c>
      <c r="E15" s="4">
        <v>443</v>
      </c>
      <c r="F15" s="4">
        <v>592</v>
      </c>
      <c r="G15" s="4">
        <f t="shared" si="0"/>
        <v>149</v>
      </c>
      <c r="I15" s="9">
        <v>144</v>
      </c>
      <c r="J15" s="9">
        <v>191</v>
      </c>
      <c r="K15" s="4">
        <f t="shared" si="1"/>
        <v>47</v>
      </c>
      <c r="M15" s="3"/>
      <c r="N15" s="3"/>
      <c r="O15" s="3"/>
      <c r="P15" s="3"/>
      <c r="Q15" s="3"/>
      <c r="R15" s="32"/>
      <c r="S15" s="3"/>
      <c r="T15" s="3"/>
      <c r="U15" s="3"/>
    </row>
    <row r="16" spans="2:21" x14ac:dyDescent="0.35">
      <c r="B16" s="44" t="s">
        <v>3</v>
      </c>
      <c r="C16" s="45">
        <f>SUM(C14:C15)</f>
        <v>779</v>
      </c>
      <c r="D16" s="45">
        <f t="shared" ref="D16:F16" si="8">SUM(D14:D15)</f>
        <v>1431.7039999999997</v>
      </c>
      <c r="E16" s="45">
        <f t="shared" si="8"/>
        <v>1938.4239999999991</v>
      </c>
      <c r="F16" s="45">
        <f t="shared" si="8"/>
        <v>3147</v>
      </c>
      <c r="G16" s="45">
        <f t="shared" si="0"/>
        <v>1208.5760000000009</v>
      </c>
      <c r="H16" s="61"/>
      <c r="I16" s="45">
        <f t="shared" ref="I16:J16" si="9">SUM(I14:I15)</f>
        <v>587</v>
      </c>
      <c r="J16" s="45">
        <f t="shared" si="9"/>
        <v>866.5</v>
      </c>
      <c r="K16" s="45">
        <f t="shared" si="1"/>
        <v>279.5</v>
      </c>
      <c r="M16" s="3"/>
      <c r="N16" s="3"/>
      <c r="O16" s="3"/>
      <c r="P16" s="3"/>
      <c r="Q16" s="3"/>
      <c r="R16" s="32"/>
      <c r="S16" s="3"/>
      <c r="T16" s="3"/>
      <c r="U16" s="3"/>
    </row>
    <row r="17" spans="1:21" x14ac:dyDescent="0.35">
      <c r="B17" s="2" t="s">
        <v>78</v>
      </c>
      <c r="C17" s="4">
        <v>0</v>
      </c>
      <c r="D17" s="4">
        <v>-332</v>
      </c>
      <c r="E17" s="4">
        <v>0</v>
      </c>
      <c r="F17" s="4">
        <v>-467</v>
      </c>
      <c r="G17" s="4">
        <f t="shared" si="0"/>
        <v>-467</v>
      </c>
      <c r="I17" s="9">
        <v>0</v>
      </c>
      <c r="J17" s="9">
        <v>0</v>
      </c>
      <c r="K17" s="4">
        <f t="shared" si="1"/>
        <v>0</v>
      </c>
      <c r="M17" s="3"/>
      <c r="N17" s="3"/>
      <c r="O17" s="3"/>
      <c r="P17" s="3"/>
      <c r="Q17" s="3"/>
      <c r="R17" s="32"/>
      <c r="S17" s="3"/>
      <c r="T17" s="3"/>
      <c r="U17" s="3"/>
    </row>
    <row r="18" spans="1:21" x14ac:dyDescent="0.35">
      <c r="B18" s="2" t="s">
        <v>95</v>
      </c>
      <c r="C18" s="4">
        <v>0</v>
      </c>
      <c r="D18" s="4">
        <v>0</v>
      </c>
      <c r="E18" s="4">
        <v>0</v>
      </c>
      <c r="F18" s="4">
        <v>-115</v>
      </c>
      <c r="G18" s="4">
        <f t="shared" si="0"/>
        <v>-115</v>
      </c>
      <c r="I18" s="9">
        <v>-70</v>
      </c>
      <c r="J18" s="9">
        <v>0</v>
      </c>
      <c r="K18" s="4">
        <f t="shared" si="1"/>
        <v>70</v>
      </c>
      <c r="M18" s="3"/>
      <c r="N18" s="3"/>
      <c r="O18" s="3"/>
      <c r="P18" s="3"/>
      <c r="Q18" s="3"/>
      <c r="R18" s="32"/>
      <c r="S18" s="3"/>
      <c r="T18" s="3"/>
      <c r="U18" s="3"/>
    </row>
    <row r="19" spans="1:21" x14ac:dyDescent="0.35">
      <c r="B19" s="44" t="s">
        <v>27</v>
      </c>
      <c r="C19" s="45">
        <f>SUM(C16:C18)</f>
        <v>779</v>
      </c>
      <c r="D19" s="45">
        <f t="shared" ref="D19:F19" si="10">SUM(D16:D18)</f>
        <v>1099.7039999999997</v>
      </c>
      <c r="E19" s="45">
        <f t="shared" si="10"/>
        <v>1938.4239999999991</v>
      </c>
      <c r="F19" s="45">
        <f t="shared" si="10"/>
        <v>2565</v>
      </c>
      <c r="G19" s="45">
        <f t="shared" si="0"/>
        <v>626.57600000000093</v>
      </c>
      <c r="H19" s="61"/>
      <c r="I19" s="45">
        <f t="shared" ref="I19:J19" si="11">SUM(I16:I18)</f>
        <v>517</v>
      </c>
      <c r="J19" s="45">
        <f t="shared" si="11"/>
        <v>866.5</v>
      </c>
      <c r="K19" s="45">
        <f t="shared" si="1"/>
        <v>349.5</v>
      </c>
      <c r="M19" s="3"/>
      <c r="N19" s="3"/>
      <c r="O19" s="3"/>
      <c r="P19" s="3"/>
      <c r="Q19" s="3"/>
      <c r="R19" s="32"/>
      <c r="S19" s="3"/>
      <c r="T19" s="3"/>
      <c r="U19" s="3"/>
    </row>
    <row r="20" spans="1:21" x14ac:dyDescent="0.35">
      <c r="A20" s="16"/>
      <c r="B20" s="19"/>
      <c r="C20" s="20"/>
      <c r="D20" s="20"/>
      <c r="E20" s="20"/>
      <c r="F20" s="20"/>
      <c r="G20" s="20"/>
      <c r="I20" s="20"/>
      <c r="J20" s="20"/>
      <c r="K20" s="20"/>
      <c r="M20" s="3"/>
      <c r="N20" s="3"/>
      <c r="O20" s="3"/>
      <c r="P20" s="3"/>
      <c r="Q20" s="3"/>
      <c r="R20" s="32"/>
      <c r="S20" s="3"/>
      <c r="T20" s="3"/>
      <c r="U20" s="3"/>
    </row>
    <row r="21" spans="1:21" x14ac:dyDescent="0.35">
      <c r="B21" s="44" t="s">
        <v>2</v>
      </c>
      <c r="C21" s="45">
        <f>C14</f>
        <v>569</v>
      </c>
      <c r="D21" s="45">
        <f t="shared" ref="D21:F21" si="12">D14</f>
        <v>1231.7039999999997</v>
      </c>
      <c r="E21" s="45">
        <f t="shared" si="12"/>
        <v>1495.4239999999991</v>
      </c>
      <c r="F21" s="45">
        <f t="shared" si="12"/>
        <v>2555</v>
      </c>
      <c r="G21" s="45">
        <f t="shared" ref="G21:G28" si="13">F21-E21</f>
        <v>1059.5760000000009</v>
      </c>
      <c r="H21" s="61"/>
      <c r="I21" s="45">
        <f t="shared" ref="I21:J21" si="14">I14</f>
        <v>443</v>
      </c>
      <c r="J21" s="45">
        <f t="shared" si="14"/>
        <v>675.5</v>
      </c>
      <c r="K21" s="45">
        <f t="shared" si="1"/>
        <v>232.5</v>
      </c>
      <c r="M21" s="3"/>
      <c r="N21" s="3"/>
      <c r="O21" s="3"/>
      <c r="P21" s="3"/>
      <c r="Q21" s="3"/>
      <c r="R21" s="32"/>
      <c r="S21" s="3"/>
      <c r="T21" s="3"/>
      <c r="U21" s="3"/>
    </row>
    <row r="22" spans="1:21" x14ac:dyDescent="0.35">
      <c r="B22" s="8" t="s">
        <v>39</v>
      </c>
      <c r="C22" s="9">
        <f t="shared" ref="C22:F23" si="15">-C10</f>
        <v>-208.66300000000001</v>
      </c>
      <c r="D22" s="9">
        <f t="shared" si="15"/>
        <v>-219.4</v>
      </c>
      <c r="E22" s="9">
        <f t="shared" si="15"/>
        <v>-218</v>
      </c>
      <c r="F22" s="9">
        <f t="shared" si="15"/>
        <v>-235</v>
      </c>
      <c r="G22" s="9">
        <f t="shared" si="13"/>
        <v>-17</v>
      </c>
      <c r="I22" s="9">
        <f>-I10</f>
        <v>-56</v>
      </c>
      <c r="J22" s="9">
        <f>-J10</f>
        <v>-61</v>
      </c>
      <c r="K22" s="9">
        <f t="shared" si="1"/>
        <v>-5</v>
      </c>
      <c r="M22" s="3"/>
      <c r="N22" s="3"/>
      <c r="O22" s="3"/>
      <c r="P22" s="3"/>
      <c r="Q22" s="3"/>
      <c r="R22" s="32"/>
      <c r="S22" s="3"/>
      <c r="T22" s="3"/>
      <c r="U22" s="3"/>
    </row>
    <row r="23" spans="1:21" x14ac:dyDescent="0.35">
      <c r="B23" s="8" t="s">
        <v>93</v>
      </c>
      <c r="C23" s="9">
        <f t="shared" si="15"/>
        <v>-16</v>
      </c>
      <c r="D23" s="9">
        <f t="shared" si="15"/>
        <v>60</v>
      </c>
      <c r="E23" s="9">
        <f t="shared" si="15"/>
        <v>16</v>
      </c>
      <c r="F23" s="39" t="s">
        <v>97</v>
      </c>
      <c r="G23" s="9">
        <f>-E23</f>
        <v>-16</v>
      </c>
      <c r="I23" s="39" t="s">
        <v>97</v>
      </c>
      <c r="J23" s="39" t="s">
        <v>97</v>
      </c>
      <c r="K23" s="39" t="s">
        <v>97</v>
      </c>
      <c r="M23" s="3"/>
      <c r="N23" s="3"/>
      <c r="O23" s="3"/>
      <c r="P23" s="3"/>
      <c r="Q23" s="3"/>
      <c r="R23" s="32"/>
      <c r="S23" s="3"/>
      <c r="T23" s="3"/>
      <c r="U23" s="3"/>
    </row>
    <row r="24" spans="1:21" x14ac:dyDescent="0.35">
      <c r="B24" s="8" t="s">
        <v>20</v>
      </c>
      <c r="C24" s="9">
        <f>C25+C27+C28</f>
        <v>-608</v>
      </c>
      <c r="D24" s="9">
        <f>D25+D27+D28</f>
        <v>-609</v>
      </c>
      <c r="E24" s="9">
        <f t="shared" ref="E24" si="16">E25+E27+E28</f>
        <v>-779</v>
      </c>
      <c r="F24" s="9">
        <f>F25+F27+F28+0.5</f>
        <v>-1036.5</v>
      </c>
      <c r="G24" s="9">
        <f t="shared" si="13"/>
        <v>-257.5</v>
      </c>
      <c r="I24" s="9">
        <f t="shared" ref="I24:J24" si="17">I25+I27+I28</f>
        <v>-270.5</v>
      </c>
      <c r="J24" s="9">
        <f t="shared" si="17"/>
        <v>-282.5</v>
      </c>
      <c r="K24" s="9">
        <f t="shared" si="1"/>
        <v>-12</v>
      </c>
      <c r="M24" s="3"/>
      <c r="N24" s="3"/>
      <c r="O24" s="3"/>
      <c r="P24" s="3"/>
      <c r="Q24" s="3"/>
      <c r="R24" s="32"/>
      <c r="S24" s="3"/>
      <c r="T24" s="3"/>
      <c r="U24" s="3"/>
    </row>
    <row r="25" spans="1:21" x14ac:dyDescent="0.35">
      <c r="B25" s="21" t="s">
        <v>96</v>
      </c>
      <c r="C25" s="9">
        <v>-556</v>
      </c>
      <c r="D25" s="9">
        <v>-564</v>
      </c>
      <c r="E25" s="9">
        <v>-750</v>
      </c>
      <c r="F25" s="9">
        <v>-943</v>
      </c>
      <c r="G25" s="9">
        <f t="shared" si="13"/>
        <v>-193</v>
      </c>
      <c r="I25" s="9">
        <v>-235</v>
      </c>
      <c r="J25" s="9">
        <v>-262</v>
      </c>
      <c r="K25" s="9">
        <f t="shared" si="1"/>
        <v>-27</v>
      </c>
      <c r="M25" s="3"/>
      <c r="N25" s="3"/>
      <c r="O25" s="3"/>
      <c r="P25" s="3"/>
      <c r="Q25" s="3"/>
      <c r="R25" s="32"/>
      <c r="S25" s="3"/>
      <c r="T25" s="3"/>
      <c r="U25" s="3"/>
    </row>
    <row r="26" spans="1:21" x14ac:dyDescent="0.35">
      <c r="B26" s="21" t="s">
        <v>22</v>
      </c>
      <c r="C26" s="39" t="s">
        <v>97</v>
      </c>
      <c r="D26" s="14">
        <v>9.8000000000000004E-2</v>
      </c>
      <c r="E26" s="14">
        <v>0.11600000000000001</v>
      </c>
      <c r="F26" s="14">
        <v>0.13300000000000001</v>
      </c>
      <c r="G26" s="14">
        <f t="shared" si="13"/>
        <v>1.7000000000000001E-2</v>
      </c>
      <c r="I26" s="14">
        <v>0.129</v>
      </c>
      <c r="J26" s="14">
        <v>0.13600000000000001</v>
      </c>
      <c r="K26" s="14">
        <f t="shared" si="1"/>
        <v>7.0000000000000062E-3</v>
      </c>
      <c r="M26" s="3"/>
      <c r="N26" s="3"/>
      <c r="O26" s="3"/>
      <c r="P26" s="3"/>
      <c r="Q26" s="3"/>
      <c r="R26" s="32"/>
      <c r="S26" s="3"/>
      <c r="T26" s="3"/>
      <c r="U26" s="3"/>
    </row>
    <row r="27" spans="1:21" x14ac:dyDescent="0.35">
      <c r="B27" s="21" t="s">
        <v>65</v>
      </c>
      <c r="C27" s="9">
        <f>-C12</f>
        <v>-43</v>
      </c>
      <c r="D27" s="9">
        <f t="shared" ref="D27:F27" si="18">-D12</f>
        <v>-36</v>
      </c>
      <c r="E27" s="9">
        <f t="shared" si="18"/>
        <v>-40</v>
      </c>
      <c r="F27" s="9">
        <f t="shared" si="18"/>
        <v>-79</v>
      </c>
      <c r="G27" s="9">
        <f t="shared" si="13"/>
        <v>-39</v>
      </c>
      <c r="I27" s="9">
        <f t="shared" ref="I27:J27" si="19">-I12</f>
        <v>-30</v>
      </c>
      <c r="J27" s="9">
        <f t="shared" si="19"/>
        <v>-26</v>
      </c>
      <c r="K27" s="9">
        <f t="shared" si="1"/>
        <v>4</v>
      </c>
      <c r="M27" s="3"/>
      <c r="N27" s="3"/>
      <c r="O27" s="3"/>
      <c r="P27" s="3"/>
      <c r="Q27" s="3"/>
      <c r="R27" s="32"/>
      <c r="S27" s="3"/>
      <c r="T27" s="3"/>
      <c r="U27" s="3"/>
    </row>
    <row r="28" spans="1:21" x14ac:dyDescent="0.35">
      <c r="B28" s="21" t="s">
        <v>12</v>
      </c>
      <c r="C28" s="9">
        <v>-9</v>
      </c>
      <c r="D28" s="9">
        <v>-9</v>
      </c>
      <c r="E28" s="9">
        <v>11</v>
      </c>
      <c r="F28" s="9">
        <v>-15</v>
      </c>
      <c r="G28" s="9">
        <f t="shared" si="13"/>
        <v>-26</v>
      </c>
      <c r="I28" s="9">
        <v>-5.5</v>
      </c>
      <c r="J28" s="9">
        <v>5.5</v>
      </c>
      <c r="K28" s="9">
        <f t="shared" si="1"/>
        <v>11</v>
      </c>
      <c r="M28" s="3"/>
      <c r="N28" s="3"/>
      <c r="O28" s="3"/>
      <c r="P28" s="3"/>
      <c r="Q28" s="3"/>
      <c r="R28" s="32"/>
      <c r="S28" s="3"/>
      <c r="T28" s="3"/>
      <c r="U28" s="3"/>
    </row>
    <row r="29" spans="1:21" x14ac:dyDescent="0.35">
      <c r="B29" s="8" t="s">
        <v>21</v>
      </c>
      <c r="C29" s="9">
        <v>-13</v>
      </c>
      <c r="D29" s="9">
        <v>-127</v>
      </c>
      <c r="E29" s="9">
        <v>-137</v>
      </c>
      <c r="F29" s="9">
        <v>-296</v>
      </c>
      <c r="G29" s="9">
        <f t="shared" si="0"/>
        <v>-159</v>
      </c>
      <c r="I29" s="9">
        <v>-39</v>
      </c>
      <c r="J29" s="9">
        <v>-89</v>
      </c>
      <c r="K29" s="9">
        <f t="shared" si="1"/>
        <v>-50</v>
      </c>
      <c r="M29" s="3"/>
      <c r="N29" s="3"/>
      <c r="O29" s="3"/>
      <c r="P29" s="3"/>
      <c r="Q29" s="3"/>
      <c r="R29" s="32"/>
      <c r="S29" s="3"/>
      <c r="T29" s="3"/>
      <c r="U29" s="3"/>
    </row>
    <row r="30" spans="1:21" x14ac:dyDescent="0.35">
      <c r="B30" s="44" t="s">
        <v>25</v>
      </c>
      <c r="C30" s="45">
        <f>SUM(C21:C24,C29)</f>
        <v>-276.66300000000001</v>
      </c>
      <c r="D30" s="45">
        <f>SUM(D21:D24,D29)</f>
        <v>336.30399999999963</v>
      </c>
      <c r="E30" s="45">
        <f>SUM(E21:E24,E29)</f>
        <v>377.42399999999907</v>
      </c>
      <c r="F30" s="45">
        <f>SUM(F21:F24,F29)</f>
        <v>987.5</v>
      </c>
      <c r="G30" s="45">
        <f t="shared" si="0"/>
        <v>610.07600000000093</v>
      </c>
      <c r="H30" s="61"/>
      <c r="I30" s="45">
        <f>SUM(I21:I24,I29)</f>
        <v>77.5</v>
      </c>
      <c r="J30" s="45">
        <f>SUM(J21:J24,J29)</f>
        <v>243</v>
      </c>
      <c r="K30" s="45">
        <f t="shared" si="1"/>
        <v>165.5</v>
      </c>
      <c r="M30" s="3"/>
      <c r="N30" s="3"/>
      <c r="O30" s="3"/>
      <c r="P30" s="3"/>
      <c r="Q30" s="3"/>
      <c r="R30" s="32"/>
      <c r="S30" s="3"/>
      <c r="T30" s="3"/>
      <c r="U30" s="3"/>
    </row>
    <row r="31" spans="1:21" x14ac:dyDescent="0.35">
      <c r="B31" s="2" t="s">
        <v>78</v>
      </c>
      <c r="C31" s="4">
        <f t="shared" ref="C31:E32" si="20">C17*8</f>
        <v>0</v>
      </c>
      <c r="D31" s="4">
        <f>-266</f>
        <v>-266</v>
      </c>
      <c r="E31" s="4">
        <f t="shared" si="20"/>
        <v>0</v>
      </c>
      <c r="F31" s="4">
        <f>F17*0.8</f>
        <v>-373.6</v>
      </c>
      <c r="G31" s="4">
        <f t="shared" si="0"/>
        <v>-373.6</v>
      </c>
      <c r="I31" s="4">
        <f>I17*8</f>
        <v>0</v>
      </c>
      <c r="J31" s="4">
        <f>J17*8</f>
        <v>0</v>
      </c>
      <c r="K31" s="4">
        <f t="shared" si="1"/>
        <v>0</v>
      </c>
      <c r="M31" s="3"/>
      <c r="N31" s="3"/>
      <c r="O31" s="3"/>
      <c r="P31" s="3"/>
      <c r="Q31" s="3"/>
      <c r="R31" s="32"/>
      <c r="S31" s="3"/>
      <c r="T31" s="3"/>
      <c r="U31" s="3"/>
    </row>
    <row r="32" spans="1:21" x14ac:dyDescent="0.35">
      <c r="B32" s="2" t="s">
        <v>95</v>
      </c>
      <c r="C32" s="4">
        <f t="shared" si="20"/>
        <v>0</v>
      </c>
      <c r="D32" s="4">
        <f t="shared" si="20"/>
        <v>0</v>
      </c>
      <c r="E32" s="4">
        <f t="shared" si="20"/>
        <v>0</v>
      </c>
      <c r="F32" s="4">
        <f>F18*0.8</f>
        <v>-92</v>
      </c>
      <c r="G32" s="4">
        <f t="shared" si="0"/>
        <v>-92</v>
      </c>
      <c r="I32" s="4">
        <f>I18*0.8</f>
        <v>-56</v>
      </c>
      <c r="J32" s="4">
        <f>J18*8</f>
        <v>0</v>
      </c>
      <c r="K32" s="4">
        <f t="shared" si="1"/>
        <v>56</v>
      </c>
      <c r="M32" s="3"/>
      <c r="N32" s="3"/>
      <c r="O32" s="3"/>
      <c r="P32" s="3"/>
      <c r="Q32" s="3"/>
      <c r="R32" s="32"/>
      <c r="S32" s="3"/>
      <c r="T32" s="3"/>
      <c r="U32" s="3"/>
    </row>
    <row r="33" spans="2:21 16380:16380" x14ac:dyDescent="0.35">
      <c r="B33" s="44" t="s">
        <v>38</v>
      </c>
      <c r="C33" s="45">
        <f>SUM(C30:C32)</f>
        <v>-276.66300000000001</v>
      </c>
      <c r="D33" s="45">
        <f>SUM(D30:D32)</f>
        <v>70.303999999999633</v>
      </c>
      <c r="E33" s="45">
        <f>SUM(E30:E32)</f>
        <v>377.42399999999907</v>
      </c>
      <c r="F33" s="45">
        <f>SUM(F30:F32)</f>
        <v>521.9</v>
      </c>
      <c r="G33" s="45">
        <f t="shared" si="0"/>
        <v>144.47600000000091</v>
      </c>
      <c r="H33" s="61"/>
      <c r="I33" s="45">
        <f t="shared" ref="I33:J33" si="21">SUM(I30:I32)</f>
        <v>21.5</v>
      </c>
      <c r="J33" s="45">
        <f t="shared" si="21"/>
        <v>243</v>
      </c>
      <c r="K33" s="45">
        <f t="shared" si="1"/>
        <v>221.5</v>
      </c>
      <c r="M33" s="3"/>
      <c r="N33" s="3"/>
      <c r="O33" s="3"/>
      <c r="P33" s="3"/>
      <c r="Q33" s="3"/>
      <c r="R33" s="32"/>
      <c r="S33" s="3"/>
      <c r="T33" s="3"/>
      <c r="U33" s="3"/>
    </row>
    <row r="34" spans="2:21 16380:16380" x14ac:dyDescent="0.35">
      <c r="B34" s="8" t="s">
        <v>66</v>
      </c>
      <c r="C34" s="35">
        <f t="shared" ref="C34:F34" si="22">C33*1000000/118106896712*100</f>
        <v>-0.23424796324522362</v>
      </c>
      <c r="D34" s="35">
        <f t="shared" si="22"/>
        <v>5.9525736394068288E-2</v>
      </c>
      <c r="E34" s="35">
        <f t="shared" si="22"/>
        <v>0.3195613554391627</v>
      </c>
      <c r="F34" s="35">
        <f t="shared" si="22"/>
        <v>0.44188782749295064</v>
      </c>
      <c r="G34" s="35">
        <f t="shared" si="0"/>
        <v>0.12232647205378794</v>
      </c>
      <c r="I34" s="30">
        <f>I33*1000000/118106896712*100</f>
        <v>1.820384803812692E-2</v>
      </c>
      <c r="J34" s="30">
        <f>J33*1000000/118106896712*100</f>
        <v>0.20574581736115544</v>
      </c>
      <c r="K34" s="30">
        <f t="shared" si="1"/>
        <v>0.18754196932302852</v>
      </c>
      <c r="M34" s="3"/>
      <c r="N34" s="3"/>
      <c r="O34" s="3"/>
      <c r="P34" s="3"/>
      <c r="Q34" s="3"/>
      <c r="R34" s="32"/>
      <c r="S34" s="3"/>
      <c r="T34" s="3"/>
      <c r="U34" s="3"/>
    </row>
    <row r="35" spans="2:21 16380:16380" x14ac:dyDescent="0.35">
      <c r="B35" s="8" t="s">
        <v>40</v>
      </c>
      <c r="C35" s="10" t="s">
        <v>97</v>
      </c>
      <c r="D35" s="10" t="s">
        <v>97</v>
      </c>
      <c r="E35" s="10" t="s">
        <v>97</v>
      </c>
      <c r="F35" s="10">
        <v>0.68</v>
      </c>
      <c r="G35" s="10">
        <f>F35</f>
        <v>0.68</v>
      </c>
      <c r="I35" s="10" t="s">
        <v>97</v>
      </c>
      <c r="J35" s="10" t="s">
        <v>97</v>
      </c>
      <c r="K35" s="10" t="s">
        <v>97</v>
      </c>
      <c r="M35" s="3"/>
      <c r="N35" s="3"/>
      <c r="O35" s="3"/>
      <c r="P35" s="3"/>
      <c r="Q35" s="3"/>
      <c r="R35" s="32"/>
      <c r="S35" s="3"/>
      <c r="T35" s="3"/>
      <c r="U35" s="3"/>
    </row>
    <row r="36" spans="2:21 16380:16380" x14ac:dyDescent="0.35">
      <c r="B36" s="8" t="s">
        <v>64</v>
      </c>
      <c r="C36" s="10" t="s">
        <v>97</v>
      </c>
      <c r="D36" s="10" t="s">
        <v>97</v>
      </c>
      <c r="E36" s="10" t="s">
        <v>97</v>
      </c>
      <c r="F36" s="9">
        <f>F33*F35-1</f>
        <v>353.892</v>
      </c>
      <c r="G36" s="9">
        <f>F36</f>
        <v>353.892</v>
      </c>
      <c r="I36" s="10" t="s">
        <v>97</v>
      </c>
      <c r="J36" s="10" t="s">
        <v>97</v>
      </c>
      <c r="K36" s="10" t="s">
        <v>97</v>
      </c>
      <c r="M36" s="3"/>
      <c r="N36" s="3"/>
      <c r="O36" s="3"/>
      <c r="P36" s="3"/>
      <c r="Q36" s="3"/>
      <c r="R36" s="32"/>
      <c r="S36" s="3"/>
      <c r="T36" s="3"/>
      <c r="U36" s="3"/>
    </row>
    <row r="37" spans="2:21 16380:16380" x14ac:dyDescent="0.35">
      <c r="B37" s="8" t="s">
        <v>67</v>
      </c>
      <c r="C37" s="10" t="s">
        <v>97</v>
      </c>
      <c r="D37" s="10" t="s">
        <v>97</v>
      </c>
      <c r="E37" s="10" t="s">
        <v>97</v>
      </c>
      <c r="F37" s="30">
        <f>F36*1000000/118106896712*100</f>
        <v>0.29963703208878195</v>
      </c>
      <c r="G37" s="30">
        <f>F37</f>
        <v>0.29963703208878195</v>
      </c>
      <c r="I37" s="10" t="s">
        <v>97</v>
      </c>
      <c r="J37" s="10" t="s">
        <v>97</v>
      </c>
      <c r="K37" s="10" t="s">
        <v>97</v>
      </c>
      <c r="M37" s="3"/>
      <c r="N37" s="3"/>
      <c r="O37" s="3"/>
      <c r="P37" s="3"/>
      <c r="Q37" s="3"/>
      <c r="R37" s="32"/>
      <c r="S37" s="3"/>
      <c r="T37" s="3"/>
      <c r="U37" s="3"/>
    </row>
    <row r="38" spans="2:21 16380:16380" x14ac:dyDescent="0.35">
      <c r="B38" s="8"/>
      <c r="C38" s="29"/>
      <c r="D38" s="29"/>
      <c r="E38" s="29"/>
      <c r="F38" s="30"/>
      <c r="G38" s="30"/>
      <c r="I38" s="29"/>
      <c r="J38" s="30"/>
      <c r="K38" s="30"/>
      <c r="M38" s="3"/>
      <c r="N38" s="3"/>
      <c r="O38" s="3"/>
      <c r="P38" s="3"/>
      <c r="Q38" s="3"/>
      <c r="R38" s="32"/>
      <c r="S38" s="3"/>
      <c r="T38" s="3"/>
      <c r="U38" s="3"/>
    </row>
    <row r="39" spans="2:21 16380:16380" x14ac:dyDescent="0.35">
      <c r="B39" s="44" t="s">
        <v>29</v>
      </c>
      <c r="C39" s="45">
        <v>146</v>
      </c>
      <c r="D39" s="45">
        <v>1095</v>
      </c>
      <c r="E39" s="45">
        <v>2004</v>
      </c>
      <c r="F39" s="45">
        <v>1923</v>
      </c>
      <c r="G39" s="45">
        <f t="shared" ref="G39:G51" si="23">F39-E39</f>
        <v>-81</v>
      </c>
      <c r="H39" s="61"/>
      <c r="I39" s="45">
        <v>366</v>
      </c>
      <c r="J39" s="45">
        <v>-97</v>
      </c>
      <c r="K39" s="45">
        <f t="shared" ref="K39:K49" si="24">J39-I39</f>
        <v>-463</v>
      </c>
      <c r="M39" s="3"/>
      <c r="N39" s="3"/>
      <c r="O39" s="3"/>
      <c r="P39" s="3"/>
      <c r="Q39" s="3"/>
      <c r="R39" s="32"/>
      <c r="S39" s="3"/>
      <c r="T39" s="3"/>
      <c r="U39" s="3"/>
    </row>
    <row r="40" spans="2:21 16380:16380" x14ac:dyDescent="0.35">
      <c r="B40" s="8" t="s">
        <v>14</v>
      </c>
      <c r="C40" s="9">
        <v>-525</v>
      </c>
      <c r="D40" s="9">
        <v>-1093</v>
      </c>
      <c r="E40" s="9">
        <v>-1560</v>
      </c>
      <c r="F40" s="9">
        <v>-1747</v>
      </c>
      <c r="G40" s="22">
        <f t="shared" si="23"/>
        <v>-187</v>
      </c>
      <c r="I40" s="9">
        <v>-398</v>
      </c>
      <c r="J40" s="9">
        <v>-501</v>
      </c>
      <c r="K40" s="22">
        <f t="shared" si="24"/>
        <v>-103</v>
      </c>
      <c r="M40" s="3"/>
      <c r="N40" s="3"/>
      <c r="O40" s="3"/>
      <c r="P40" s="3"/>
      <c r="Q40" s="3"/>
      <c r="R40" s="32"/>
      <c r="S40" s="3"/>
      <c r="T40" s="3"/>
      <c r="U40" s="3"/>
      <c r="XEZ40" s="9"/>
    </row>
    <row r="41" spans="2:21 16380:16380" x14ac:dyDescent="0.35">
      <c r="B41" s="44" t="s">
        <v>4</v>
      </c>
      <c r="C41" s="45">
        <f>SUM(C39:C40)</f>
        <v>-379</v>
      </c>
      <c r="D41" s="45">
        <f>SUM(D39:D40)</f>
        <v>2</v>
      </c>
      <c r="E41" s="45">
        <f>SUM(E39:E40)</f>
        <v>444</v>
      </c>
      <c r="F41" s="45">
        <f>SUM(F39:F40)</f>
        <v>176</v>
      </c>
      <c r="G41" s="45">
        <f t="shared" si="23"/>
        <v>-268</v>
      </c>
      <c r="H41" s="61"/>
      <c r="I41" s="45">
        <f t="shared" ref="I41:J41" si="25">SUM(I39:I40)</f>
        <v>-32</v>
      </c>
      <c r="J41" s="45">
        <f t="shared" si="25"/>
        <v>-598</v>
      </c>
      <c r="K41" s="45">
        <f t="shared" si="24"/>
        <v>-566</v>
      </c>
      <c r="M41" s="3"/>
      <c r="N41" s="3"/>
      <c r="O41" s="3"/>
      <c r="P41" s="3"/>
      <c r="Q41" s="3"/>
      <c r="R41" s="32"/>
      <c r="S41" s="3"/>
      <c r="T41" s="3"/>
      <c r="U41" s="3"/>
    </row>
    <row r="42" spans="2:21 16380:16380" x14ac:dyDescent="0.35">
      <c r="B42" s="8" t="s">
        <v>41</v>
      </c>
      <c r="C42" s="9">
        <v>-596</v>
      </c>
      <c r="D42" s="9">
        <v>-374.26</v>
      </c>
      <c r="E42" s="9">
        <v>-602</v>
      </c>
      <c r="F42" s="9">
        <v>-886</v>
      </c>
      <c r="G42" s="22">
        <f t="shared" si="23"/>
        <v>-284</v>
      </c>
      <c r="I42" s="9">
        <v>-235</v>
      </c>
      <c r="J42" s="9">
        <v>-279</v>
      </c>
      <c r="K42" s="22">
        <f t="shared" si="24"/>
        <v>-44</v>
      </c>
      <c r="M42" s="3"/>
      <c r="N42" s="3"/>
      <c r="O42" s="3"/>
      <c r="P42" s="3"/>
      <c r="Q42" s="3"/>
      <c r="R42" s="32"/>
      <c r="S42" s="3"/>
      <c r="T42" s="3"/>
      <c r="U42" s="3"/>
    </row>
    <row r="43" spans="2:21 16380:16380" x14ac:dyDescent="0.35">
      <c r="B43" s="8" t="s">
        <v>42</v>
      </c>
      <c r="C43" s="22">
        <v>-48</v>
      </c>
      <c r="D43" s="22">
        <v>-73</v>
      </c>
      <c r="E43" s="22">
        <v>-145</v>
      </c>
      <c r="F43" s="22">
        <v>-65</v>
      </c>
      <c r="G43" s="22">
        <f t="shared" si="23"/>
        <v>80</v>
      </c>
      <c r="I43" s="22">
        <v>-22</v>
      </c>
      <c r="J43" s="22">
        <v>-7</v>
      </c>
      <c r="K43" s="22">
        <f t="shared" si="24"/>
        <v>15</v>
      </c>
      <c r="M43" s="3"/>
      <c r="N43" s="3"/>
      <c r="O43" s="3"/>
      <c r="P43" s="3"/>
      <c r="Q43" s="3"/>
      <c r="R43" s="32"/>
      <c r="S43" s="3"/>
      <c r="T43" s="3"/>
      <c r="U43" s="3"/>
    </row>
    <row r="44" spans="2:21 16380:16380" x14ac:dyDescent="0.35">
      <c r="B44" s="44" t="s">
        <v>6</v>
      </c>
      <c r="C44" s="45">
        <f>SUM(C41:C43)</f>
        <v>-1023</v>
      </c>
      <c r="D44" s="45">
        <f>SUM(D41:D43)</f>
        <v>-445.26</v>
      </c>
      <c r="E44" s="45">
        <f>SUM(E41:E43)</f>
        <v>-303</v>
      </c>
      <c r="F44" s="45">
        <f>SUM(F41:F43)</f>
        <v>-775</v>
      </c>
      <c r="G44" s="45">
        <f t="shared" si="23"/>
        <v>-472</v>
      </c>
      <c r="H44" s="61"/>
      <c r="I44" s="45">
        <f t="shared" ref="I44:J44" si="26">SUM(I41:I43)</f>
        <v>-289</v>
      </c>
      <c r="J44" s="45">
        <f t="shared" si="26"/>
        <v>-884</v>
      </c>
      <c r="K44" s="45">
        <f t="shared" si="24"/>
        <v>-595</v>
      </c>
      <c r="M44" s="3"/>
      <c r="N44" s="3"/>
      <c r="O44" s="3"/>
      <c r="P44" s="3"/>
      <c r="Q44" s="3"/>
      <c r="R44" s="32"/>
      <c r="S44" s="3"/>
      <c r="T44" s="3"/>
      <c r="U44" s="3"/>
    </row>
    <row r="45" spans="2:21 16380:16380" x14ac:dyDescent="0.35">
      <c r="B45" s="2"/>
      <c r="C45" s="23"/>
      <c r="D45" s="1"/>
      <c r="E45" s="1"/>
      <c r="F45" s="1"/>
      <c r="G45" s="1"/>
      <c r="I45" s="1"/>
      <c r="J45" s="1"/>
      <c r="K45" s="1"/>
      <c r="M45" s="3"/>
      <c r="N45" s="32"/>
      <c r="O45" s="32"/>
      <c r="P45" s="32"/>
      <c r="Q45" s="32"/>
      <c r="R45" s="32"/>
      <c r="S45" s="3"/>
      <c r="T45" s="3"/>
    </row>
    <row r="46" spans="2:21 16380:16380" x14ac:dyDescent="0.35">
      <c r="B46" s="2" t="s">
        <v>45</v>
      </c>
      <c r="C46" s="39" t="s">
        <v>97</v>
      </c>
      <c r="D46" s="1">
        <f>C50</f>
        <v>5461</v>
      </c>
      <c r="E46" s="1">
        <f>D50</f>
        <v>6083</v>
      </c>
      <c r="F46" s="1">
        <f>E50</f>
        <v>6493</v>
      </c>
      <c r="G46" s="1">
        <f t="shared" si="23"/>
        <v>410</v>
      </c>
      <c r="I46" s="1">
        <f>E50</f>
        <v>6493</v>
      </c>
      <c r="J46" s="1">
        <f>F50</f>
        <v>7344.9359999999997</v>
      </c>
      <c r="K46" s="1">
        <f t="shared" si="24"/>
        <v>851.93599999999969</v>
      </c>
      <c r="M46" s="3"/>
      <c r="N46" s="3"/>
      <c r="O46" s="3"/>
      <c r="P46" s="3"/>
      <c r="Q46" s="3"/>
      <c r="R46" s="32"/>
      <c r="S46" s="3"/>
      <c r="T46" s="3"/>
      <c r="U46" s="3"/>
    </row>
    <row r="47" spans="2:21 16380:16380" x14ac:dyDescent="0.35">
      <c r="B47" s="11" t="s">
        <v>6</v>
      </c>
      <c r="C47" s="39" t="s">
        <v>97</v>
      </c>
      <c r="D47" s="6">
        <f>-D44</f>
        <v>445.26</v>
      </c>
      <c r="E47" s="6">
        <f>-E44</f>
        <v>303</v>
      </c>
      <c r="F47" s="6">
        <f>-F44</f>
        <v>775</v>
      </c>
      <c r="G47" s="6">
        <f t="shared" si="23"/>
        <v>472</v>
      </c>
      <c r="I47" s="6">
        <f t="shared" ref="I47:J47" si="27">-I44</f>
        <v>289</v>
      </c>
      <c r="J47" s="6">
        <f t="shared" si="27"/>
        <v>884</v>
      </c>
      <c r="K47" s="6">
        <f t="shared" si="24"/>
        <v>595</v>
      </c>
      <c r="M47" s="3"/>
      <c r="N47" s="3"/>
      <c r="O47" s="3"/>
      <c r="P47" s="3"/>
      <c r="Q47" s="3"/>
      <c r="R47" s="32"/>
      <c r="S47" s="3"/>
      <c r="T47" s="3"/>
      <c r="U47" s="3"/>
    </row>
    <row r="48" spans="2:21 16380:16380" x14ac:dyDescent="0.35">
      <c r="B48" s="11" t="s">
        <v>46</v>
      </c>
      <c r="C48" s="39" t="s">
        <v>97</v>
      </c>
      <c r="D48" s="6">
        <v>0</v>
      </c>
      <c r="E48" s="6">
        <v>0</v>
      </c>
      <c r="F48" s="6">
        <v>0</v>
      </c>
      <c r="G48" s="6">
        <f t="shared" si="23"/>
        <v>0</v>
      </c>
      <c r="I48" s="6">
        <v>0</v>
      </c>
      <c r="J48" s="6">
        <v>0</v>
      </c>
      <c r="K48" s="6">
        <f t="shared" si="24"/>
        <v>0</v>
      </c>
      <c r="M48" s="3"/>
      <c r="N48" s="32"/>
      <c r="O48" s="32"/>
      <c r="P48" s="32"/>
      <c r="Q48" s="32"/>
      <c r="R48" s="32"/>
      <c r="S48" s="3"/>
      <c r="T48" s="3"/>
    </row>
    <row r="49" spans="2:21" x14ac:dyDescent="0.35">
      <c r="B49" s="11" t="s">
        <v>47</v>
      </c>
      <c r="C49" s="39" t="s">
        <v>97</v>
      </c>
      <c r="D49" s="6">
        <f>D50-D46-D47-D48</f>
        <v>176.74</v>
      </c>
      <c r="E49" s="6">
        <f>E50-E46-E47-E48</f>
        <v>107</v>
      </c>
      <c r="F49" s="6">
        <f>F50-F46-F47-F48</f>
        <v>76.935999999999694</v>
      </c>
      <c r="G49" s="6">
        <f t="shared" si="23"/>
        <v>-30.064000000000306</v>
      </c>
      <c r="I49" s="6">
        <f>I50-I46-I47-I48</f>
        <v>15.161000000000058</v>
      </c>
      <c r="J49" s="6">
        <f>J50-J46-J47-J48</f>
        <v>47.167999999999665</v>
      </c>
      <c r="K49" s="6">
        <f t="shared" si="24"/>
        <v>32.006999999999607</v>
      </c>
      <c r="M49" s="3"/>
      <c r="N49" s="32"/>
      <c r="O49" s="32"/>
      <c r="P49" s="32"/>
      <c r="Q49" s="32"/>
      <c r="R49" s="32"/>
      <c r="S49" s="3"/>
      <c r="T49" s="3"/>
    </row>
    <row r="50" spans="2:21" x14ac:dyDescent="0.35">
      <c r="B50" s="2" t="s">
        <v>44</v>
      </c>
      <c r="C50" s="6">
        <v>5461</v>
      </c>
      <c r="D50" s="6">
        <v>6083</v>
      </c>
      <c r="E50" s="6">
        <v>6493</v>
      </c>
      <c r="F50" s="6">
        <v>7344.9359999999997</v>
      </c>
      <c r="G50" s="4">
        <f t="shared" si="23"/>
        <v>851.93599999999969</v>
      </c>
      <c r="I50" s="6">
        <v>6797.1610000000001</v>
      </c>
      <c r="J50" s="6">
        <v>8276.1039999999994</v>
      </c>
      <c r="K50" s="4">
        <f>J50-I50</f>
        <v>1478.9429999999993</v>
      </c>
      <c r="M50" s="3"/>
      <c r="N50" s="3"/>
      <c r="O50" s="3"/>
      <c r="P50" s="3"/>
      <c r="Q50" s="3"/>
      <c r="R50" s="32"/>
      <c r="S50" s="3"/>
      <c r="T50" s="3"/>
      <c r="U50" s="3"/>
    </row>
    <row r="51" spans="2:21" x14ac:dyDescent="0.35">
      <c r="B51" s="44" t="s">
        <v>43</v>
      </c>
      <c r="C51" s="46">
        <f>C50/C19</f>
        <v>7.0102695763799741</v>
      </c>
      <c r="D51" s="46">
        <f>D50/D19</f>
        <v>5.5314884732618976</v>
      </c>
      <c r="E51" s="46">
        <v>3.4</v>
      </c>
      <c r="F51" s="46">
        <f>F50/F19</f>
        <v>2.8635228070175436</v>
      </c>
      <c r="G51" s="46">
        <f t="shared" si="23"/>
        <v>-0.53647719298245633</v>
      </c>
      <c r="H51" s="61"/>
      <c r="I51" s="56" t="s">
        <v>97</v>
      </c>
      <c r="J51" s="56" t="s">
        <v>97</v>
      </c>
      <c r="K51" s="56" t="s">
        <v>97</v>
      </c>
      <c r="M51" s="34"/>
      <c r="N51" s="34"/>
      <c r="O51" s="34"/>
      <c r="P51" s="34"/>
      <c r="Q51" s="34"/>
      <c r="R51" s="32"/>
      <c r="S51" s="3"/>
      <c r="T51" s="3"/>
    </row>
    <row r="52" spans="2:21" x14ac:dyDescent="0.35">
      <c r="B52" s="19"/>
      <c r="C52" s="28"/>
      <c r="D52" s="28"/>
      <c r="E52" s="28"/>
      <c r="F52" s="28"/>
      <c r="G52" s="28"/>
      <c r="I52" s="28"/>
      <c r="J52" s="28"/>
      <c r="K52" s="28"/>
      <c r="N52" s="32"/>
      <c r="O52" s="32"/>
      <c r="P52" s="32"/>
      <c r="Q52" s="32"/>
      <c r="R52" s="32"/>
    </row>
    <row r="53" spans="2:21" x14ac:dyDescent="0.35">
      <c r="C53" s="3"/>
      <c r="E53" s="3"/>
      <c r="F53" s="3"/>
      <c r="G53" s="3"/>
      <c r="N53" s="32"/>
      <c r="O53" s="32"/>
      <c r="P53" s="32"/>
      <c r="Q53" s="32"/>
      <c r="R53" s="32"/>
    </row>
    <row r="54" spans="2:21" x14ac:dyDescent="0.35">
      <c r="C54" s="3"/>
      <c r="E54" s="3"/>
      <c r="F54" s="3"/>
      <c r="G54" s="3"/>
      <c r="N54" s="32"/>
      <c r="O54" s="32"/>
      <c r="P54" s="32"/>
      <c r="Q54" s="32"/>
      <c r="R54" s="32"/>
    </row>
    <row r="55" spans="2:21" x14ac:dyDescent="0.35">
      <c r="C55" s="3"/>
      <c r="E55" s="34"/>
      <c r="F55" s="34"/>
      <c r="G55" s="3"/>
      <c r="N55" s="32"/>
      <c r="O55" s="32"/>
      <c r="P55" s="32"/>
      <c r="Q55" s="32"/>
      <c r="R55" s="32"/>
    </row>
    <row r="56" spans="2:21" x14ac:dyDescent="0.35">
      <c r="N56" s="32"/>
      <c r="O56" s="32"/>
      <c r="P56" s="32"/>
      <c r="Q56" s="32"/>
      <c r="R56" s="32"/>
    </row>
    <row r="57" spans="2:21" x14ac:dyDescent="0.35">
      <c r="N57" s="32"/>
      <c r="O57" s="32"/>
      <c r="P57" s="32"/>
      <c r="Q57" s="32"/>
      <c r="R57" s="32"/>
    </row>
    <row r="58" spans="2:21" x14ac:dyDescent="0.35">
      <c r="N58" s="32"/>
      <c r="O58" s="32"/>
      <c r="P58" s="32"/>
      <c r="Q58" s="32"/>
      <c r="R58" s="32"/>
    </row>
    <row r="59" spans="2:21" x14ac:dyDescent="0.35">
      <c r="N59" s="32"/>
      <c r="O59" s="32"/>
      <c r="P59" s="32"/>
      <c r="Q59" s="32"/>
      <c r="R59" s="32"/>
    </row>
    <row r="60" spans="2:21" x14ac:dyDescent="0.35">
      <c r="N60" s="32"/>
      <c r="O60" s="32"/>
      <c r="P60" s="32"/>
      <c r="Q60" s="32"/>
      <c r="R60" s="32"/>
    </row>
    <row r="61" spans="2:21" x14ac:dyDescent="0.35">
      <c r="N61" s="32"/>
      <c r="O61" s="32"/>
      <c r="P61" s="32"/>
      <c r="Q61" s="32"/>
      <c r="R61" s="32"/>
    </row>
    <row r="62" spans="2:21" x14ac:dyDescent="0.35">
      <c r="N62" s="32"/>
      <c r="O62" s="32"/>
      <c r="P62" s="32"/>
      <c r="Q62" s="32"/>
      <c r="R62" s="32"/>
    </row>
  </sheetData>
  <pageMargins left="0.7" right="0.7" top="0.75" bottom="0.75" header="0.3" footer="0.3"/>
  <pageSetup paperSize="9" scale="10" orientation="landscape" r:id="rId1"/>
  <ignoredErrors>
    <ignoredError sqref="D31:D32 G11" formula="1"/>
    <ignoredError sqref="I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U58"/>
  <sheetViews>
    <sheetView showGridLines="0" workbookViewId="0">
      <selection activeCell="B2" sqref="B2"/>
    </sheetView>
  </sheetViews>
  <sheetFormatPr defaultColWidth="8.81640625" defaultRowHeight="14.5" x14ac:dyDescent="0.35"/>
  <cols>
    <col min="1" max="1" width="8.81640625" style="31"/>
    <col min="2" max="2" width="54.1796875" style="31" customWidth="1"/>
    <col min="3" max="7" width="10.7265625" style="31" customWidth="1"/>
    <col min="8" max="8" width="1.7265625" style="16" customWidth="1"/>
    <col min="9" max="11" width="10.7265625" style="31" customWidth="1"/>
    <col min="12" max="16384" width="8.81640625" style="31"/>
  </cols>
  <sheetData>
    <row r="1" spans="2:21" x14ac:dyDescent="0.35">
      <c r="C1" s="3"/>
      <c r="D1" s="3"/>
      <c r="E1" s="3"/>
      <c r="F1" s="26"/>
      <c r="G1" s="26"/>
      <c r="I1" s="3"/>
      <c r="J1" s="26"/>
      <c r="K1" s="26"/>
    </row>
    <row r="2" spans="2:21" x14ac:dyDescent="0.35">
      <c r="B2" s="41" t="s">
        <v>1</v>
      </c>
      <c r="C2" s="42" t="s">
        <v>71</v>
      </c>
      <c r="D2" s="42" t="s">
        <v>71</v>
      </c>
      <c r="E2" s="42" t="s">
        <v>71</v>
      </c>
      <c r="F2" s="42" t="s">
        <v>71</v>
      </c>
      <c r="G2" s="42" t="s">
        <v>23</v>
      </c>
      <c r="H2" s="43"/>
      <c r="I2" s="65" t="s">
        <v>68</v>
      </c>
      <c r="J2" s="42" t="s">
        <v>68</v>
      </c>
      <c r="K2" s="42" t="s">
        <v>23</v>
      </c>
    </row>
    <row r="3" spans="2:21" ht="15" thickBot="1" x14ac:dyDescent="0.4">
      <c r="B3" s="62" t="s">
        <v>0</v>
      </c>
      <c r="C3" s="63">
        <v>2014</v>
      </c>
      <c r="D3" s="63">
        <v>2015</v>
      </c>
      <c r="E3" s="63">
        <v>2016</v>
      </c>
      <c r="F3" s="63">
        <v>2017</v>
      </c>
      <c r="G3" s="64" t="s">
        <v>81</v>
      </c>
      <c r="H3" s="43"/>
      <c r="I3" s="66">
        <v>2017</v>
      </c>
      <c r="J3" s="63">
        <v>2018</v>
      </c>
      <c r="K3" s="64" t="s">
        <v>82</v>
      </c>
    </row>
    <row r="4" spans="2:21" x14ac:dyDescent="0.35">
      <c r="B4" s="5" t="s">
        <v>83</v>
      </c>
      <c r="C4" s="4">
        <v>205.39000000000001</v>
      </c>
      <c r="D4" s="4">
        <v>304.83100000000002</v>
      </c>
      <c r="E4" s="4">
        <v>609.62800000000004</v>
      </c>
      <c r="F4" s="4">
        <v>1014</v>
      </c>
      <c r="G4" s="4">
        <f t="shared" ref="G4:G23" si="0">F4-E4</f>
        <v>404.37199999999996</v>
      </c>
      <c r="H4" s="50"/>
      <c r="I4" s="4">
        <v>196.90954206181462</v>
      </c>
      <c r="J4" s="4">
        <v>305.39800000000002</v>
      </c>
      <c r="K4" s="4">
        <f>J4-I4</f>
        <v>108.48845793818541</v>
      </c>
      <c r="M4" s="3"/>
      <c r="N4" s="3"/>
      <c r="O4" s="3"/>
      <c r="P4" s="3"/>
      <c r="Q4" s="3"/>
      <c r="R4" s="3"/>
      <c r="S4" s="3"/>
      <c r="T4" s="3"/>
      <c r="U4" s="3"/>
    </row>
    <row r="5" spans="2:21" x14ac:dyDescent="0.35">
      <c r="B5" s="2" t="s">
        <v>13</v>
      </c>
      <c r="C5" s="4">
        <v>210.18100000000001</v>
      </c>
      <c r="D5" s="4">
        <v>200.333</v>
      </c>
      <c r="E5" s="4">
        <v>443.23500000000001</v>
      </c>
      <c r="F5" s="4">
        <v>592</v>
      </c>
      <c r="G5" s="4">
        <f t="shared" si="0"/>
        <v>148.76499999999999</v>
      </c>
      <c r="H5" s="50"/>
      <c r="I5" s="4">
        <v>144.102</v>
      </c>
      <c r="J5" s="4">
        <v>191.33500000000001</v>
      </c>
      <c r="K5" s="4">
        <f t="shared" ref="K5:K25" si="1">J5-I5</f>
        <v>47.233000000000004</v>
      </c>
      <c r="M5" s="37"/>
      <c r="N5" s="3"/>
      <c r="O5" s="3"/>
      <c r="P5" s="3"/>
      <c r="Q5" s="3"/>
      <c r="R5" s="3"/>
      <c r="S5" s="3"/>
      <c r="T5" s="3"/>
      <c r="U5" s="3"/>
    </row>
    <row r="6" spans="2:21" x14ac:dyDescent="0.35">
      <c r="B6" s="5" t="s">
        <v>26</v>
      </c>
      <c r="C6" s="4">
        <f>SUM(C7:C11)</f>
        <v>66.836883419186591</v>
      </c>
      <c r="D6" s="4">
        <f>SUM(D7:D11)</f>
        <v>136.90278828440944</v>
      </c>
      <c r="E6" s="4">
        <f>SUM(E7:E11)</f>
        <v>448.97269115704557</v>
      </c>
      <c r="F6" s="4">
        <f>SUM(F7:F11)</f>
        <v>605</v>
      </c>
      <c r="G6" s="4">
        <f t="shared" si="0"/>
        <v>156.02730884295443</v>
      </c>
      <c r="H6" s="50"/>
      <c r="I6" s="4">
        <f>SUM(I7:I11)</f>
        <v>94.420636475757533</v>
      </c>
      <c r="J6" s="4">
        <f>SUM(J7:J11)</f>
        <v>227.01140013666932</v>
      </c>
      <c r="K6" s="4">
        <f t="shared" si="1"/>
        <v>132.59076366091179</v>
      </c>
      <c r="M6" s="3"/>
      <c r="N6" s="3"/>
      <c r="O6" s="3"/>
      <c r="P6" s="3"/>
      <c r="Q6" s="3"/>
      <c r="R6" s="3"/>
      <c r="S6" s="3"/>
      <c r="T6" s="3"/>
      <c r="U6" s="3"/>
    </row>
    <row r="7" spans="2:21" x14ac:dyDescent="0.35">
      <c r="B7" s="15" t="s">
        <v>7</v>
      </c>
      <c r="C7" s="4">
        <v>41.669966764836175</v>
      </c>
      <c r="D7" s="4">
        <v>23.435786273687899</v>
      </c>
      <c r="E7" s="4">
        <v>165</v>
      </c>
      <c r="F7" s="4">
        <v>142</v>
      </c>
      <c r="G7" s="4">
        <f t="shared" si="0"/>
        <v>-23</v>
      </c>
      <c r="H7" s="50"/>
      <c r="I7" s="4">
        <v>9</v>
      </c>
      <c r="J7" s="4">
        <v>9.4329999999999998</v>
      </c>
      <c r="K7" s="4">
        <f t="shared" si="1"/>
        <v>0.43299999999999983</v>
      </c>
      <c r="M7" s="3"/>
      <c r="N7" s="3"/>
      <c r="O7" s="3"/>
      <c r="P7" s="3"/>
      <c r="Q7" s="3"/>
      <c r="R7" s="3"/>
      <c r="S7" s="3"/>
      <c r="T7" s="3"/>
      <c r="U7" s="3"/>
    </row>
    <row r="8" spans="2:21" x14ac:dyDescent="0.35">
      <c r="B8" s="15" t="s">
        <v>8</v>
      </c>
      <c r="C8" s="4">
        <v>78.227916654350452</v>
      </c>
      <c r="D8" s="4">
        <v>70.018002010721489</v>
      </c>
      <c r="E8" s="4">
        <v>146.45319474679684</v>
      </c>
      <c r="F8" s="4">
        <v>51</v>
      </c>
      <c r="G8" s="4">
        <f t="shared" si="0"/>
        <v>-95.453194746796839</v>
      </c>
      <c r="H8" s="50"/>
      <c r="I8" s="4">
        <v>30.091595039166364</v>
      </c>
      <c r="J8" s="4">
        <v>56.356400136669322</v>
      </c>
      <c r="K8" s="4">
        <f t="shared" si="1"/>
        <v>26.264805097502958</v>
      </c>
      <c r="M8" s="3"/>
      <c r="N8" s="3"/>
      <c r="O8" s="3"/>
      <c r="P8" s="3"/>
      <c r="Q8" s="3"/>
      <c r="R8" s="3"/>
      <c r="S8" s="3"/>
      <c r="T8" s="3"/>
      <c r="U8" s="3"/>
    </row>
    <row r="9" spans="2:21" x14ac:dyDescent="0.35">
      <c r="B9" s="15" t="s">
        <v>9</v>
      </c>
      <c r="C9" s="4">
        <v>-60.061000000000035</v>
      </c>
      <c r="D9" s="4">
        <v>26.449000000000069</v>
      </c>
      <c r="E9" s="4">
        <v>83.756321633929019</v>
      </c>
      <c r="F9" s="4">
        <v>135</v>
      </c>
      <c r="G9" s="4">
        <f t="shared" si="0"/>
        <v>51.243678366070981</v>
      </c>
      <c r="H9" s="50"/>
      <c r="I9" s="4">
        <v>20.682836355591164</v>
      </c>
      <c r="J9" s="4">
        <v>24.224</v>
      </c>
      <c r="K9" s="4">
        <f t="shared" si="1"/>
        <v>3.5411636444088366</v>
      </c>
      <c r="M9" s="3"/>
      <c r="N9" s="3"/>
      <c r="O9" s="3"/>
      <c r="P9" s="3"/>
      <c r="Q9" s="3"/>
      <c r="R9" s="3"/>
      <c r="S9" s="3"/>
      <c r="T9" s="3"/>
      <c r="U9" s="3"/>
    </row>
    <row r="10" spans="2:21" x14ac:dyDescent="0.35">
      <c r="B10" s="15" t="s">
        <v>11</v>
      </c>
      <c r="C10" s="4">
        <v>7</v>
      </c>
      <c r="D10" s="4">
        <v>17</v>
      </c>
      <c r="E10" s="4">
        <v>53.763174776319715</v>
      </c>
      <c r="F10" s="4">
        <v>277</v>
      </c>
      <c r="G10" s="4">
        <f t="shared" si="0"/>
        <v>223.23682522368028</v>
      </c>
      <c r="H10" s="50"/>
      <c r="I10" s="4">
        <v>34.646205080999998</v>
      </c>
      <c r="J10" s="4">
        <v>72.998000000000005</v>
      </c>
      <c r="K10" s="4">
        <f t="shared" si="1"/>
        <v>38.351794919000007</v>
      </c>
      <c r="M10" s="3"/>
      <c r="N10" s="3"/>
      <c r="O10" s="3"/>
      <c r="P10" s="3"/>
      <c r="Q10" s="3"/>
      <c r="R10" s="3"/>
      <c r="S10" s="3"/>
      <c r="T10" s="3"/>
      <c r="U10" s="3"/>
    </row>
    <row r="11" spans="2:21" x14ac:dyDescent="0.35">
      <c r="B11" s="15" t="s">
        <v>80</v>
      </c>
      <c r="C11" s="38" t="s">
        <v>97</v>
      </c>
      <c r="D11" s="38" t="s">
        <v>97</v>
      </c>
      <c r="E11" s="38" t="s">
        <v>97</v>
      </c>
      <c r="F11" s="38" t="s">
        <v>97</v>
      </c>
      <c r="G11" s="38" t="s">
        <v>97</v>
      </c>
      <c r="H11" s="50"/>
      <c r="I11" s="38" t="s">
        <v>97</v>
      </c>
      <c r="J11" s="4">
        <v>64</v>
      </c>
      <c r="K11" s="4">
        <f>J11</f>
        <v>64</v>
      </c>
      <c r="M11" s="3"/>
      <c r="N11" s="3"/>
      <c r="O11" s="3"/>
      <c r="P11" s="3"/>
      <c r="Q11" s="3"/>
      <c r="R11" s="3"/>
      <c r="S11" s="3"/>
      <c r="T11" s="3"/>
      <c r="U11" s="3"/>
    </row>
    <row r="12" spans="2:21" x14ac:dyDescent="0.35">
      <c r="B12" s="18" t="s">
        <v>10</v>
      </c>
      <c r="C12" s="4">
        <v>32.309772053554298</v>
      </c>
      <c r="D12" s="4">
        <v>38.876549469487827</v>
      </c>
      <c r="E12" s="4">
        <v>44</v>
      </c>
      <c r="F12" s="4">
        <v>86</v>
      </c>
      <c r="G12" s="4">
        <f t="shared" si="0"/>
        <v>42</v>
      </c>
      <c r="H12" s="50"/>
      <c r="I12" s="4">
        <v>20.984778829222702</v>
      </c>
      <c r="J12" s="4">
        <v>28.532</v>
      </c>
      <c r="K12" s="4">
        <f t="shared" si="1"/>
        <v>7.5472211707772985</v>
      </c>
      <c r="M12" s="3"/>
      <c r="N12" s="3"/>
      <c r="O12" s="3"/>
      <c r="P12" s="3"/>
      <c r="Q12" s="3"/>
      <c r="R12" s="3"/>
      <c r="S12" s="3"/>
      <c r="T12" s="3"/>
      <c r="U12" s="3"/>
    </row>
    <row r="13" spans="2:21" x14ac:dyDescent="0.35">
      <c r="B13" s="5" t="s">
        <v>12</v>
      </c>
      <c r="C13" s="4">
        <v>120.604</v>
      </c>
      <c r="D13" s="4">
        <v>126.396</v>
      </c>
      <c r="E13" s="4">
        <f>E14-SUM(E12,E4:E6)</f>
        <v>103.99730884295445</v>
      </c>
      <c r="F13" s="4">
        <f>F14-SUM(F12,F4:F6)</f>
        <v>47</v>
      </c>
      <c r="G13" s="4">
        <f t="shared" si="0"/>
        <v>-56.997308842954453</v>
      </c>
      <c r="H13" s="50"/>
      <c r="I13" s="4">
        <f>I14-SUM(I12,I4:I6)</f>
        <v>28.999332357500009</v>
      </c>
      <c r="J13" s="4">
        <f>J14-SUM(J12,J4:J6)+0.5</f>
        <v>9.8440000000000509</v>
      </c>
      <c r="K13" s="4">
        <f t="shared" si="1"/>
        <v>-19.155332357499958</v>
      </c>
      <c r="M13" s="3"/>
      <c r="N13" s="3"/>
      <c r="O13" s="3"/>
      <c r="P13" s="3"/>
      <c r="Q13" s="3"/>
      <c r="R13" s="3"/>
      <c r="S13" s="3"/>
      <c r="T13" s="3"/>
      <c r="U13" s="3"/>
    </row>
    <row r="14" spans="2:21" x14ac:dyDescent="0.35">
      <c r="B14" s="44" t="s">
        <v>27</v>
      </c>
      <c r="C14" s="45">
        <f>SUM(C4:C6,C12:C13)</f>
        <v>635.32165547274099</v>
      </c>
      <c r="D14" s="45">
        <f>SUM(D4:D6,D12:D13)</f>
        <v>807.33933775389721</v>
      </c>
      <c r="E14" s="45">
        <v>1649.8330000000001</v>
      </c>
      <c r="F14" s="45">
        <v>2344</v>
      </c>
      <c r="G14" s="45">
        <f t="shared" si="0"/>
        <v>694.16699999999992</v>
      </c>
      <c r="H14" s="53"/>
      <c r="I14" s="45">
        <v>485.41628972429487</v>
      </c>
      <c r="J14" s="45">
        <v>761.62040013666933</v>
      </c>
      <c r="K14" s="45">
        <f t="shared" si="1"/>
        <v>276.20411041237446</v>
      </c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x14ac:dyDescent="0.35">
      <c r="B15" s="8" t="s">
        <v>28</v>
      </c>
      <c r="C15" s="9">
        <v>-71</v>
      </c>
      <c r="D15" s="9">
        <v>-125</v>
      </c>
      <c r="E15" s="9">
        <v>-265</v>
      </c>
      <c r="F15" s="4">
        <v>-577</v>
      </c>
      <c r="G15" s="4">
        <f t="shared" ref="G15:G22" si="2">F15-E15</f>
        <v>-312</v>
      </c>
      <c r="H15" s="50"/>
      <c r="I15" s="4">
        <v>-90.443867913694163</v>
      </c>
      <c r="J15" s="4">
        <v>-153.70300000000003</v>
      </c>
      <c r="K15" s="4">
        <f>J15-I15</f>
        <v>-63.259132086305868</v>
      </c>
      <c r="M15" s="3"/>
      <c r="N15" s="3"/>
      <c r="O15" s="3"/>
      <c r="P15" s="3"/>
      <c r="Q15" s="3"/>
      <c r="R15" s="3"/>
      <c r="S15" s="3"/>
      <c r="T15" s="3"/>
      <c r="U15" s="3"/>
    </row>
    <row r="16" spans="2:21" x14ac:dyDescent="0.35">
      <c r="B16" s="8" t="s">
        <v>7</v>
      </c>
      <c r="C16" s="9">
        <f>-C7</f>
        <v>-41.669966764836175</v>
      </c>
      <c r="D16" s="9">
        <f>-D7</f>
        <v>-23.435786273687899</v>
      </c>
      <c r="E16" s="9">
        <f>-E7</f>
        <v>-165</v>
      </c>
      <c r="F16" s="9">
        <f>-F7</f>
        <v>-142</v>
      </c>
      <c r="G16" s="4">
        <f t="shared" si="2"/>
        <v>23</v>
      </c>
      <c r="H16" s="50"/>
      <c r="I16" s="9">
        <f t="shared" ref="I16:J16" si="3">-I7</f>
        <v>-9</v>
      </c>
      <c r="J16" s="9">
        <f t="shared" si="3"/>
        <v>-9.4329999999999998</v>
      </c>
      <c r="K16" s="4">
        <f t="shared" si="1"/>
        <v>-0.43299999999999983</v>
      </c>
      <c r="M16" s="3"/>
      <c r="N16" s="3"/>
      <c r="O16" s="3"/>
      <c r="P16" s="3"/>
      <c r="Q16" s="3"/>
      <c r="R16" s="3"/>
      <c r="S16" s="3"/>
      <c r="T16" s="3"/>
      <c r="U16" s="3"/>
    </row>
    <row r="17" spans="2:21" x14ac:dyDescent="0.35">
      <c r="B17" s="27" t="s">
        <v>101</v>
      </c>
      <c r="C17" s="9">
        <v>113.25661363291499</v>
      </c>
      <c r="D17" s="9">
        <v>199.23259478990519</v>
      </c>
      <c r="E17" s="9">
        <v>280.96151216781016</v>
      </c>
      <c r="F17" s="9">
        <v>108.03374541289574</v>
      </c>
      <c r="G17" s="4">
        <f t="shared" si="2"/>
        <v>-172.92776675491442</v>
      </c>
      <c r="H17" s="50"/>
      <c r="I17" s="9">
        <v>27.008436353223935</v>
      </c>
      <c r="J17" s="9">
        <v>49.777152944151112</v>
      </c>
      <c r="K17" s="4">
        <f t="shared" si="1"/>
        <v>22.768716590927177</v>
      </c>
      <c r="M17" s="3"/>
      <c r="N17" s="3"/>
      <c r="O17" s="3"/>
      <c r="P17" s="3"/>
      <c r="Q17" s="3"/>
      <c r="R17" s="3"/>
      <c r="S17" s="3"/>
      <c r="T17" s="3"/>
      <c r="U17" s="3"/>
    </row>
    <row r="18" spans="2:21" x14ac:dyDescent="0.35">
      <c r="B18" s="8" t="s">
        <v>105</v>
      </c>
      <c r="C18" s="9">
        <v>-588.88464686807879</v>
      </c>
      <c r="D18" s="9">
        <v>-233.94690002409573</v>
      </c>
      <c r="E18" s="9">
        <v>132.03811513005337</v>
      </c>
      <c r="F18" s="4">
        <v>-87.459060823983208</v>
      </c>
      <c r="G18" s="9">
        <f t="shared" si="2"/>
        <v>-219.49717595403658</v>
      </c>
      <c r="H18" s="50"/>
      <c r="I18" s="4">
        <v>-261.98085816382462</v>
      </c>
      <c r="J18" s="4">
        <v>-554.51155308082048</v>
      </c>
      <c r="K18" s="4">
        <f t="shared" si="1"/>
        <v>-292.53069491699586</v>
      </c>
      <c r="M18" s="3"/>
      <c r="N18" s="3"/>
      <c r="O18" s="3"/>
      <c r="P18" s="3"/>
      <c r="Q18" s="3"/>
      <c r="R18" s="3"/>
      <c r="S18" s="3"/>
      <c r="T18" s="3"/>
      <c r="U18" s="3"/>
    </row>
    <row r="19" spans="2:21" x14ac:dyDescent="0.35">
      <c r="B19" s="44" t="s">
        <v>29</v>
      </c>
      <c r="C19" s="45">
        <f>SUM(C14:C18)</f>
        <v>47.023655472740984</v>
      </c>
      <c r="D19" s="45">
        <f>SUM(D14:D18)</f>
        <v>624.1892462460188</v>
      </c>
      <c r="E19" s="45">
        <f t="shared" ref="E19:F19" si="4">SUM(E14:E18)</f>
        <v>1632.8326272978638</v>
      </c>
      <c r="F19" s="45">
        <f t="shared" si="4"/>
        <v>1645.5746845889125</v>
      </c>
      <c r="G19" s="45">
        <f t="shared" si="2"/>
        <v>12.742057291048695</v>
      </c>
      <c r="H19" s="53"/>
      <c r="I19" s="45">
        <f t="shared" ref="I19" si="5">SUM(I14:I18)</f>
        <v>151.00000000000006</v>
      </c>
      <c r="J19" s="45">
        <f t="shared" ref="J19" si="6">SUM(J14:J18)</f>
        <v>93.75</v>
      </c>
      <c r="K19" s="45">
        <f t="shared" si="1"/>
        <v>-57.250000000000057</v>
      </c>
      <c r="M19" s="3"/>
      <c r="N19" s="3"/>
      <c r="O19" s="3"/>
      <c r="P19" s="3"/>
      <c r="Q19" s="3"/>
      <c r="R19" s="3"/>
      <c r="S19" s="3"/>
      <c r="T19" s="3"/>
      <c r="U19" s="3"/>
    </row>
    <row r="20" spans="2:21" x14ac:dyDescent="0.35">
      <c r="B20" s="8" t="s">
        <v>30</v>
      </c>
      <c r="C20" s="9">
        <v>-619</v>
      </c>
      <c r="D20" s="9">
        <v>-1269</v>
      </c>
      <c r="E20" s="9">
        <v>-1599</v>
      </c>
      <c r="F20" s="9">
        <v>-1573</v>
      </c>
      <c r="G20" s="9">
        <f t="shared" si="2"/>
        <v>26</v>
      </c>
      <c r="H20" s="50"/>
      <c r="I20" s="9">
        <v>-130.82447122209155</v>
      </c>
      <c r="J20" s="9">
        <v>-126.52914330225414</v>
      </c>
      <c r="K20" s="9">
        <f t="shared" si="1"/>
        <v>4.2953279198374048</v>
      </c>
      <c r="M20" s="3"/>
      <c r="N20" s="3"/>
      <c r="O20" s="3"/>
      <c r="P20" s="3"/>
      <c r="Q20" s="3"/>
      <c r="R20" s="3"/>
      <c r="S20" s="3"/>
      <c r="T20" s="3"/>
      <c r="U20" s="3"/>
    </row>
    <row r="21" spans="2:21" x14ac:dyDescent="0.35">
      <c r="B21" s="8" t="s">
        <v>7</v>
      </c>
      <c r="C21" s="9">
        <v>41.669966764836175</v>
      </c>
      <c r="D21" s="9">
        <v>23.435786273687899</v>
      </c>
      <c r="E21" s="9">
        <v>165</v>
      </c>
      <c r="F21" s="9">
        <v>142</v>
      </c>
      <c r="G21" s="9">
        <f t="shared" si="2"/>
        <v>-23</v>
      </c>
      <c r="H21" s="50"/>
      <c r="I21" s="9">
        <v>9</v>
      </c>
      <c r="J21" s="9">
        <v>9.4329999999999998</v>
      </c>
      <c r="K21" s="9">
        <f t="shared" si="1"/>
        <v>0.43299999999999983</v>
      </c>
      <c r="M21" s="3"/>
      <c r="N21" s="3"/>
      <c r="O21" s="3"/>
      <c r="P21" s="3"/>
      <c r="Q21" s="3"/>
      <c r="R21" s="3"/>
      <c r="S21" s="3"/>
      <c r="T21" s="3"/>
      <c r="U21" s="3"/>
    </row>
    <row r="22" spans="2:21" x14ac:dyDescent="0.35">
      <c r="B22" s="8" t="s">
        <v>102</v>
      </c>
      <c r="C22" s="9">
        <v>-103.91940598232948</v>
      </c>
      <c r="D22" s="9">
        <v>-186.83463205894682</v>
      </c>
      <c r="E22" s="9">
        <v>-186.42000000000002</v>
      </c>
      <c r="F22" s="9">
        <v>-307.66720910269106</v>
      </c>
      <c r="G22" s="9">
        <f t="shared" si="2"/>
        <v>-121.24720910269104</v>
      </c>
      <c r="H22" s="50"/>
      <c r="I22" s="9">
        <v>-57.531266742779636</v>
      </c>
      <c r="J22" s="9">
        <v>-91.475861788617891</v>
      </c>
      <c r="K22" s="9">
        <f t="shared" si="1"/>
        <v>-33.944595045838255</v>
      </c>
      <c r="M22" s="3"/>
      <c r="N22" s="3"/>
      <c r="O22" s="3"/>
      <c r="P22" s="3"/>
      <c r="Q22" s="3"/>
      <c r="R22" s="3"/>
      <c r="S22" s="3"/>
      <c r="T22" s="3"/>
      <c r="U22" s="3"/>
    </row>
    <row r="23" spans="2:21" x14ac:dyDescent="0.35">
      <c r="B23" s="8" t="s">
        <v>69</v>
      </c>
      <c r="C23" s="9">
        <v>202.24943921749332</v>
      </c>
      <c r="D23" s="9">
        <v>384.39884578525891</v>
      </c>
      <c r="E23" s="9">
        <v>108.42000000000002</v>
      </c>
      <c r="F23" s="9">
        <v>34.151704117641486</v>
      </c>
      <c r="G23" s="9">
        <f t="shared" si="0"/>
        <v>-74.26829588235853</v>
      </c>
      <c r="H23" s="50"/>
      <c r="I23" s="9">
        <v>-210.32942940502375</v>
      </c>
      <c r="J23" s="9">
        <v>-280.72599490912796</v>
      </c>
      <c r="K23" s="9">
        <f>J23-I23</f>
        <v>-70.396565504104217</v>
      </c>
      <c r="M23" s="3"/>
      <c r="N23" s="3"/>
      <c r="O23" s="3"/>
      <c r="P23" s="3"/>
      <c r="Q23" s="3"/>
      <c r="R23" s="3"/>
      <c r="S23" s="3"/>
      <c r="T23" s="3"/>
      <c r="U23" s="3"/>
    </row>
    <row r="24" spans="2:21" x14ac:dyDescent="0.35">
      <c r="B24" s="44" t="s">
        <v>31</v>
      </c>
      <c r="C24" s="45">
        <f>SUM(C20:C23)</f>
        <v>-479</v>
      </c>
      <c r="D24" s="45">
        <f>SUM(D20:D23)</f>
        <v>-1048</v>
      </c>
      <c r="E24" s="45">
        <f>SUM(E20:E23)</f>
        <v>-1512</v>
      </c>
      <c r="F24" s="45">
        <f t="shared" ref="F24" si="7">SUM(F20:F23)</f>
        <v>-1704.5155049850496</v>
      </c>
      <c r="G24" s="45">
        <f>F24-E24</f>
        <v>-192.51550498504957</v>
      </c>
      <c r="H24" s="53"/>
      <c r="I24" s="45">
        <f t="shared" ref="I24" si="8">SUM(I20:I23)</f>
        <v>-389.68516736989494</v>
      </c>
      <c r="J24" s="45">
        <f t="shared" ref="J24" si="9">SUM(J20:J23)</f>
        <v>-489.298</v>
      </c>
      <c r="K24" s="45">
        <f t="shared" si="1"/>
        <v>-99.612832630105061</v>
      </c>
      <c r="M24" s="3"/>
      <c r="N24" s="3"/>
      <c r="O24" s="3"/>
      <c r="P24" s="3"/>
      <c r="Q24" s="3"/>
      <c r="R24" s="3"/>
      <c r="S24" s="3"/>
      <c r="T24" s="3"/>
      <c r="U24" s="3"/>
    </row>
    <row r="25" spans="2:21" x14ac:dyDescent="0.35">
      <c r="B25" s="44" t="s">
        <v>4</v>
      </c>
      <c r="C25" s="45">
        <f>C24+C19</f>
        <v>-431.97634452725902</v>
      </c>
      <c r="D25" s="45">
        <f>D24+D19+0.5</f>
        <v>-423.3107537539812</v>
      </c>
      <c r="E25" s="45">
        <f>E24+E19</f>
        <v>120.83262729786384</v>
      </c>
      <c r="F25" s="45">
        <f>F24+F19</f>
        <v>-58.940820396137042</v>
      </c>
      <c r="G25" s="45">
        <f>F25-E25</f>
        <v>-179.77344769400088</v>
      </c>
      <c r="H25" s="53"/>
      <c r="I25" s="45">
        <f>I24+I19</f>
        <v>-238.68516736989488</v>
      </c>
      <c r="J25" s="45">
        <f>J24+J19+1</f>
        <v>-394.548</v>
      </c>
      <c r="K25" s="45">
        <f t="shared" si="1"/>
        <v>-155.86283263010512</v>
      </c>
      <c r="M25" s="3"/>
      <c r="N25" s="3"/>
      <c r="O25" s="3"/>
      <c r="P25" s="3"/>
      <c r="Q25" s="3"/>
      <c r="R25" s="3"/>
      <c r="S25" s="3"/>
      <c r="T25" s="3"/>
      <c r="U25" s="3"/>
    </row>
    <row r="26" spans="2:21" x14ac:dyDescent="0.35">
      <c r="B26" s="19"/>
      <c r="C26" s="33"/>
      <c r="D26" s="33"/>
      <c r="E26" s="33"/>
      <c r="F26" s="33"/>
      <c r="G26" s="33"/>
      <c r="I26" s="33"/>
      <c r="J26" s="33"/>
      <c r="K26" s="33"/>
    </row>
    <row r="27" spans="2:21" x14ac:dyDescent="0.35">
      <c r="B27" s="41" t="s">
        <v>1</v>
      </c>
      <c r="C27" s="42" t="s">
        <v>71</v>
      </c>
      <c r="D27" s="42" t="s">
        <v>71</v>
      </c>
      <c r="E27" s="42" t="s">
        <v>71</v>
      </c>
      <c r="F27" s="42" t="s">
        <v>71</v>
      </c>
      <c r="G27" s="42" t="s">
        <v>23</v>
      </c>
      <c r="H27" s="43"/>
      <c r="I27" s="65" t="s">
        <v>68</v>
      </c>
      <c r="J27" s="42" t="s">
        <v>68</v>
      </c>
      <c r="K27" s="42" t="s">
        <v>23</v>
      </c>
    </row>
    <row r="28" spans="2:21" ht="15" thickBot="1" x14ac:dyDescent="0.4">
      <c r="B28" s="62" t="s">
        <v>24</v>
      </c>
      <c r="C28" s="63">
        <v>2014</v>
      </c>
      <c r="D28" s="63">
        <v>2015</v>
      </c>
      <c r="E28" s="63">
        <v>2016</v>
      </c>
      <c r="F28" s="63">
        <v>2017</v>
      </c>
      <c r="G28" s="64" t="s">
        <v>81</v>
      </c>
      <c r="H28" s="43"/>
      <c r="I28" s="66">
        <v>2017</v>
      </c>
      <c r="J28" s="63">
        <v>2018</v>
      </c>
      <c r="K28" s="64" t="s">
        <v>82</v>
      </c>
    </row>
    <row r="29" spans="2:21" x14ac:dyDescent="0.35">
      <c r="B29" s="5" t="s">
        <v>48</v>
      </c>
      <c r="C29" s="4">
        <v>966.44059948407414</v>
      </c>
      <c r="D29" s="4">
        <v>1435.1508576370379</v>
      </c>
      <c r="E29" s="4">
        <v>2661.5596138061192</v>
      </c>
      <c r="F29" s="4">
        <v>3914.3147285245618</v>
      </c>
      <c r="G29" s="4">
        <f t="shared" ref="G29:G57" si="10">F29-E29</f>
        <v>1252.7551147184427</v>
      </c>
      <c r="I29" s="4">
        <v>3914.3147285245618</v>
      </c>
      <c r="J29" s="4">
        <v>5322.0147285245612</v>
      </c>
      <c r="K29" s="4">
        <f t="shared" ref="K29:K54" si="11">J29-I29</f>
        <v>1407.6999999999994</v>
      </c>
      <c r="M29" s="36"/>
      <c r="N29" s="36"/>
      <c r="O29" s="36"/>
      <c r="P29" s="36"/>
      <c r="Q29" s="36"/>
      <c r="R29" s="36"/>
      <c r="S29" s="36"/>
      <c r="T29" s="36"/>
      <c r="U29" s="36"/>
    </row>
    <row r="30" spans="2:21" x14ac:dyDescent="0.35">
      <c r="B30" s="15" t="s">
        <v>30</v>
      </c>
      <c r="C30" s="4">
        <v>619</v>
      </c>
      <c r="D30" s="4">
        <v>1269</v>
      </c>
      <c r="E30" s="4">
        <v>1599</v>
      </c>
      <c r="F30" s="4">
        <v>1573</v>
      </c>
      <c r="G30" s="4">
        <f t="shared" si="10"/>
        <v>-26</v>
      </c>
      <c r="I30" s="4">
        <v>130.82447122209155</v>
      </c>
      <c r="J30" s="4">
        <v>126.52914330225414</v>
      </c>
      <c r="K30" s="4">
        <f t="shared" si="11"/>
        <v>-4.2953279198374048</v>
      </c>
      <c r="M30" s="36"/>
      <c r="N30" s="36"/>
      <c r="O30" s="36"/>
      <c r="P30" s="36"/>
      <c r="Q30" s="36"/>
      <c r="R30" s="36"/>
      <c r="S30" s="36"/>
      <c r="T30" s="36"/>
      <c r="U30" s="36"/>
    </row>
    <row r="31" spans="2:21" x14ac:dyDescent="0.35">
      <c r="B31" s="15" t="s">
        <v>13</v>
      </c>
      <c r="C31" s="4">
        <v>-210.18100000000001</v>
      </c>
      <c r="D31" s="4">
        <v>-200.333</v>
      </c>
      <c r="E31" s="4">
        <v>-443.23500000000001</v>
      </c>
      <c r="F31" s="4">
        <v>-592</v>
      </c>
      <c r="G31" s="4">
        <f t="shared" si="10"/>
        <v>-148.76499999999999</v>
      </c>
      <c r="I31" s="4">
        <v>-144.102</v>
      </c>
      <c r="J31" s="4">
        <v>-191.33500000000001</v>
      </c>
      <c r="K31" s="4">
        <f>J31-I31</f>
        <v>-47.233000000000004</v>
      </c>
      <c r="M31" s="32"/>
      <c r="N31" s="32"/>
      <c r="O31" s="32"/>
      <c r="P31" s="32"/>
      <c r="Q31" s="32"/>
      <c r="R31" s="32"/>
      <c r="S31" s="32"/>
      <c r="T31" s="32"/>
      <c r="U31" s="32"/>
    </row>
    <row r="32" spans="2:21" x14ac:dyDescent="0.35">
      <c r="B32" s="15" t="s">
        <v>50</v>
      </c>
      <c r="C32" s="4">
        <v>59.891264166825501</v>
      </c>
      <c r="D32" s="4">
        <v>157.74175616908124</v>
      </c>
      <c r="E32" s="4">
        <v>96.990114718442669</v>
      </c>
      <c r="F32" s="4">
        <v>426.7</v>
      </c>
      <c r="G32" s="4">
        <f t="shared" si="10"/>
        <v>329.70988528155732</v>
      </c>
      <c r="I32" s="4">
        <v>306.32914461585597</v>
      </c>
      <c r="J32" s="4">
        <v>565.3260378333016</v>
      </c>
      <c r="K32" s="4">
        <f>J32-I32</f>
        <v>258.99689321744563</v>
      </c>
      <c r="M32" s="36"/>
      <c r="N32" s="36"/>
      <c r="O32" s="36"/>
      <c r="P32" s="36"/>
      <c r="Q32" s="36"/>
      <c r="R32" s="36"/>
      <c r="S32" s="36"/>
      <c r="T32" s="36"/>
      <c r="U32" s="36"/>
    </row>
    <row r="33" spans="2:21" x14ac:dyDescent="0.35">
      <c r="B33" s="44" t="s">
        <v>49</v>
      </c>
      <c r="C33" s="45">
        <f>SUM(C29:C32)</f>
        <v>1435.1508636508995</v>
      </c>
      <c r="D33" s="45">
        <f>SUM(D29:D32)</f>
        <v>2661.5596138061192</v>
      </c>
      <c r="E33" s="45">
        <f>SUM(E29:E32)</f>
        <v>3914.3147285245618</v>
      </c>
      <c r="F33" s="45">
        <f>SUM(F29:F32)</f>
        <v>5322.0147285245612</v>
      </c>
      <c r="G33" s="45">
        <f>F33-E33</f>
        <v>1407.6999999999994</v>
      </c>
      <c r="H33" s="54"/>
      <c r="I33" s="45">
        <f>SUM(I29:I32)</f>
        <v>4207.3663443625101</v>
      </c>
      <c r="J33" s="45">
        <f>SUM(J29:J32)</f>
        <v>5822.5349096601167</v>
      </c>
      <c r="K33" s="45">
        <f>J33-I33</f>
        <v>1615.1685652976066</v>
      </c>
      <c r="M33" s="32"/>
      <c r="N33" s="32"/>
      <c r="O33" s="32"/>
      <c r="P33" s="32"/>
      <c r="Q33" s="32"/>
      <c r="R33" s="32"/>
      <c r="S33" s="32"/>
      <c r="T33" s="32"/>
      <c r="U33" s="32"/>
    </row>
    <row r="34" spans="2:21" x14ac:dyDescent="0.35">
      <c r="B34" s="5" t="s">
        <v>84</v>
      </c>
      <c r="C34" s="24">
        <v>9.9699999999999997E-2</v>
      </c>
      <c r="D34" s="24">
        <v>9.9699999999999997E-2</v>
      </c>
      <c r="E34" s="24">
        <v>0.1191</v>
      </c>
      <c r="F34" s="24">
        <v>0.1191</v>
      </c>
      <c r="G34" s="24">
        <f t="shared" si="10"/>
        <v>0</v>
      </c>
      <c r="I34" s="24">
        <v>0.1191</v>
      </c>
      <c r="J34" s="24">
        <v>0.1361</v>
      </c>
      <c r="K34" s="24">
        <f>J34-I34</f>
        <v>1.7000000000000001E-2</v>
      </c>
      <c r="M34" s="36"/>
      <c r="N34" s="36"/>
      <c r="O34" s="36"/>
      <c r="P34" s="36"/>
      <c r="Q34" s="36"/>
      <c r="R34" s="36"/>
      <c r="S34" s="36"/>
      <c r="T34" s="36"/>
      <c r="U34" s="36"/>
    </row>
    <row r="35" spans="2:21" x14ac:dyDescent="0.35">
      <c r="B35" s="44" t="s">
        <v>14</v>
      </c>
      <c r="C35" s="51"/>
      <c r="D35" s="51"/>
      <c r="E35" s="51"/>
      <c r="F35" s="51"/>
      <c r="G35" s="51"/>
      <c r="H35" s="54"/>
      <c r="I35" s="51"/>
      <c r="J35" s="51"/>
      <c r="K35" s="51"/>
      <c r="M35" s="36"/>
      <c r="N35" s="36"/>
      <c r="O35" s="36"/>
      <c r="P35" s="36"/>
      <c r="Q35" s="36"/>
      <c r="R35" s="36"/>
      <c r="S35" s="36"/>
      <c r="T35" s="36"/>
      <c r="U35" s="36"/>
    </row>
    <row r="36" spans="2:21" x14ac:dyDescent="0.35">
      <c r="B36" s="5" t="s">
        <v>51</v>
      </c>
      <c r="C36" s="4">
        <v>567.00000000000011</v>
      </c>
      <c r="D36" s="4">
        <v>567</v>
      </c>
      <c r="E36" s="4">
        <v>863.87649800000008</v>
      </c>
      <c r="F36" s="4">
        <v>863.87649800000008</v>
      </c>
      <c r="G36" s="4">
        <f t="shared" si="10"/>
        <v>0</v>
      </c>
      <c r="I36" s="4">
        <v>215.96912450000002</v>
      </c>
      <c r="J36" s="4">
        <v>215.96912450000002</v>
      </c>
      <c r="K36" s="4">
        <f t="shared" si="11"/>
        <v>0</v>
      </c>
      <c r="M36" s="36"/>
      <c r="N36" s="36"/>
      <c r="O36" s="36"/>
      <c r="P36" s="36"/>
      <c r="Q36" s="36"/>
      <c r="R36" s="36"/>
      <c r="S36" s="36"/>
      <c r="T36" s="36"/>
      <c r="U36" s="36"/>
    </row>
    <row r="37" spans="2:21" x14ac:dyDescent="0.35">
      <c r="B37" s="5" t="s">
        <v>52</v>
      </c>
      <c r="C37" s="4">
        <v>525.66332335329355</v>
      </c>
      <c r="D37" s="4">
        <v>571.97426214071868</v>
      </c>
      <c r="E37" s="4">
        <v>903.09364590696111</v>
      </c>
      <c r="F37" s="4">
        <v>1001.5406495151198</v>
      </c>
      <c r="G37" s="4">
        <f t="shared" si="10"/>
        <v>98.447003608158639</v>
      </c>
      <c r="I37" s="4">
        <v>243.4421429945921</v>
      </c>
      <c r="J37" s="4">
        <v>276.96908642370886</v>
      </c>
      <c r="K37" s="4">
        <f t="shared" si="11"/>
        <v>33.526943429116756</v>
      </c>
      <c r="M37" s="36"/>
      <c r="N37" s="36"/>
      <c r="O37" s="36"/>
      <c r="P37" s="36"/>
      <c r="Q37" s="36"/>
      <c r="R37" s="36"/>
      <c r="S37" s="36"/>
      <c r="T37" s="36"/>
      <c r="U37" s="36"/>
    </row>
    <row r="38" spans="2:21" x14ac:dyDescent="0.35">
      <c r="B38" s="5" t="s">
        <v>30</v>
      </c>
      <c r="C38" s="4">
        <v>619</v>
      </c>
      <c r="D38" s="4">
        <v>1269</v>
      </c>
      <c r="E38" s="4">
        <v>1599</v>
      </c>
      <c r="F38" s="4">
        <v>1573</v>
      </c>
      <c r="G38" s="4">
        <f t="shared" si="10"/>
        <v>-26</v>
      </c>
      <c r="I38" s="4">
        <v>130.82447122209155</v>
      </c>
      <c r="J38" s="4">
        <v>126.529143302254</v>
      </c>
      <c r="K38" s="4">
        <f t="shared" si="11"/>
        <v>-4.2953279198375469</v>
      </c>
      <c r="M38" s="36"/>
      <c r="N38" s="36"/>
      <c r="O38" s="36"/>
      <c r="P38" s="36"/>
      <c r="Q38" s="36"/>
      <c r="R38" s="36"/>
      <c r="S38" s="36"/>
      <c r="T38" s="36"/>
      <c r="U38" s="36"/>
    </row>
    <row r="39" spans="2:21" x14ac:dyDescent="0.35">
      <c r="B39" s="5" t="s">
        <v>19</v>
      </c>
      <c r="C39" s="10">
        <f>C38/C37-1</f>
        <v>0.17755980396596116</v>
      </c>
      <c r="D39" s="10">
        <f t="shared" ref="D39:F39" si="12">D38/D37-1</f>
        <v>1.2186312986366459</v>
      </c>
      <c r="E39" s="10">
        <f t="shared" si="12"/>
        <v>0.77058050097800468</v>
      </c>
      <c r="F39" s="10">
        <f t="shared" si="12"/>
        <v>0.57058028624354229</v>
      </c>
      <c r="G39" s="10">
        <f t="shared" si="10"/>
        <v>-0.20000021473446239</v>
      </c>
      <c r="I39" s="10">
        <f t="shared" ref="I39:J39" si="13">I38/I37-1</f>
        <v>-0.46260548969535764</v>
      </c>
      <c r="J39" s="10">
        <f t="shared" si="13"/>
        <v>-0.54316510576675325</v>
      </c>
      <c r="K39" s="10">
        <f t="shared" si="11"/>
        <v>-8.0559616071395612E-2</v>
      </c>
      <c r="M39" s="36"/>
      <c r="N39" s="36"/>
      <c r="O39" s="36"/>
      <c r="P39" s="36"/>
      <c r="Q39" s="36"/>
      <c r="R39" s="36"/>
      <c r="S39" s="36"/>
      <c r="T39" s="36"/>
      <c r="U39" s="36"/>
    </row>
    <row r="40" spans="2:21" x14ac:dyDescent="0.35">
      <c r="B40" s="44" t="s">
        <v>75</v>
      </c>
      <c r="C40" s="52"/>
      <c r="D40" s="52"/>
      <c r="E40" s="52"/>
      <c r="F40" s="52"/>
      <c r="G40" s="52"/>
      <c r="H40" s="54"/>
      <c r="I40" s="52"/>
      <c r="J40" s="52"/>
      <c r="K40" s="52"/>
      <c r="M40" s="36"/>
      <c r="N40" s="36"/>
      <c r="O40" s="36"/>
      <c r="P40" s="36"/>
      <c r="Q40" s="36"/>
      <c r="R40" s="36"/>
      <c r="S40" s="36"/>
      <c r="T40" s="36"/>
      <c r="U40" s="36"/>
    </row>
    <row r="41" spans="2:21" x14ac:dyDescent="0.35">
      <c r="B41" s="5" t="s">
        <v>99</v>
      </c>
      <c r="C41" s="12">
        <v>7.8799999999999995E-2</v>
      </c>
      <c r="D41" s="12">
        <v>7.8799999999999995E-2</v>
      </c>
      <c r="E41" s="12">
        <v>0.08</v>
      </c>
      <c r="F41" s="12">
        <v>7.7499999999999999E-2</v>
      </c>
      <c r="G41" s="7">
        <f>F41-E41</f>
        <v>-2.5000000000000022E-3</v>
      </c>
      <c r="I41" s="7">
        <v>7.7499999999999999E-2</v>
      </c>
      <c r="J41" s="7">
        <v>7.6352424951418529E-2</v>
      </c>
      <c r="K41" s="7">
        <f t="shared" si="11"/>
        <v>-1.1475750485814701E-3</v>
      </c>
      <c r="M41" s="36"/>
      <c r="N41" s="36"/>
      <c r="O41" s="36"/>
      <c r="P41" s="36"/>
      <c r="Q41" s="36"/>
      <c r="R41" s="36"/>
      <c r="S41" s="36"/>
      <c r="T41" s="36"/>
      <c r="U41" s="36"/>
    </row>
    <row r="42" spans="2:21" x14ac:dyDescent="0.35">
      <c r="B42" s="5" t="s">
        <v>100</v>
      </c>
      <c r="C42" s="12">
        <v>7.6799999999999993E-2</v>
      </c>
      <c r="D42" s="12">
        <v>7.0000000000000007E-2</v>
      </c>
      <c r="E42" s="12">
        <v>6.9800000000000001E-2</v>
      </c>
      <c r="F42" s="12">
        <v>6.0496507664818691E-2</v>
      </c>
      <c r="G42" s="7">
        <f>F42-E42</f>
        <v>-9.3034923351813098E-3</v>
      </c>
      <c r="I42" s="7">
        <v>6.9649684300334622E-2</v>
      </c>
      <c r="J42" s="7">
        <v>6.2661357975046558E-2</v>
      </c>
      <c r="K42" s="7">
        <f t="shared" si="11"/>
        <v>-6.9883263252880634E-3</v>
      </c>
      <c r="M42" s="36"/>
      <c r="N42" s="36"/>
      <c r="O42" s="36"/>
      <c r="P42" s="36"/>
      <c r="Q42" s="36"/>
      <c r="R42" s="36"/>
      <c r="S42" s="36"/>
      <c r="T42" s="36"/>
      <c r="U42" s="36"/>
    </row>
    <row r="43" spans="2:21" x14ac:dyDescent="0.35">
      <c r="B43" s="5" t="s">
        <v>16</v>
      </c>
      <c r="C43" s="12">
        <f>C41-C42</f>
        <v>2.0000000000000018E-3</v>
      </c>
      <c r="D43" s="12">
        <f>D41-D42</f>
        <v>8.7999999999999884E-3</v>
      </c>
      <c r="E43" s="12">
        <f>E41-E42</f>
        <v>1.0200000000000001E-2</v>
      </c>
      <c r="F43" s="12">
        <v>1.7003492335181308E-2</v>
      </c>
      <c r="G43" s="7">
        <f>F43-E43</f>
        <v>6.8034923351813076E-3</v>
      </c>
      <c r="I43" s="7">
        <v>7.8503156996653778E-3</v>
      </c>
      <c r="J43" s="7">
        <v>1.3691066976371971E-2</v>
      </c>
      <c r="K43" s="7">
        <f t="shared" si="11"/>
        <v>5.8407512767065933E-3</v>
      </c>
      <c r="M43" s="36"/>
      <c r="N43" s="36"/>
      <c r="O43" s="36"/>
      <c r="P43" s="36"/>
      <c r="Q43" s="36"/>
      <c r="R43" s="36"/>
      <c r="S43" s="36"/>
      <c r="T43" s="36"/>
      <c r="U43" s="36"/>
    </row>
    <row r="44" spans="2:21" x14ac:dyDescent="0.35">
      <c r="B44" s="5" t="s">
        <v>61</v>
      </c>
      <c r="C44" s="17">
        <v>14.3</v>
      </c>
      <c r="D44" s="17">
        <v>15</v>
      </c>
      <c r="E44" s="17">
        <v>15.3</v>
      </c>
      <c r="F44" s="17">
        <v>16</v>
      </c>
      <c r="G44" s="17">
        <f t="shared" si="10"/>
        <v>0.69999999999999929</v>
      </c>
      <c r="I44" s="17">
        <v>4.0999999999999996</v>
      </c>
      <c r="J44" s="17">
        <v>4.2</v>
      </c>
      <c r="K44" s="17">
        <f t="shared" si="11"/>
        <v>0.10000000000000053</v>
      </c>
      <c r="M44" s="36"/>
      <c r="N44" s="36"/>
      <c r="O44" s="36"/>
      <c r="P44" s="36"/>
      <c r="Q44" s="36"/>
      <c r="R44" s="36"/>
      <c r="S44" s="36"/>
      <c r="T44" s="36"/>
      <c r="U44" s="36"/>
    </row>
    <row r="45" spans="2:21" x14ac:dyDescent="0.35">
      <c r="B45" s="44" t="s">
        <v>74</v>
      </c>
      <c r="C45" s="52"/>
      <c r="D45" s="52"/>
      <c r="E45" s="52"/>
      <c r="F45" s="52"/>
      <c r="G45" s="52"/>
      <c r="H45" s="54"/>
      <c r="I45" s="52"/>
      <c r="J45" s="52"/>
      <c r="K45" s="52"/>
      <c r="M45" s="36"/>
      <c r="N45" s="36"/>
      <c r="O45" s="36"/>
      <c r="P45" s="36"/>
      <c r="Q45" s="36"/>
      <c r="R45" s="36"/>
      <c r="S45" s="36"/>
      <c r="T45" s="36"/>
      <c r="U45" s="36"/>
    </row>
    <row r="46" spans="2:21" x14ac:dyDescent="0.35">
      <c r="B46" s="5" t="s">
        <v>99</v>
      </c>
      <c r="C46" s="12">
        <v>6.6100000000000006E-2</v>
      </c>
      <c r="D46" s="12">
        <v>6.6100000000000006E-2</v>
      </c>
      <c r="E46" s="12">
        <v>7.6100000000000001E-2</v>
      </c>
      <c r="F46" s="7">
        <v>7.6316666666666672E-2</v>
      </c>
      <c r="G46" s="7">
        <f t="shared" si="10"/>
        <v>2.1666666666667056E-4</v>
      </c>
      <c r="I46" s="7">
        <v>7.6316666666666672E-2</v>
      </c>
      <c r="J46" s="7">
        <v>7.4955134146130781E-2</v>
      </c>
      <c r="K46" s="7">
        <f t="shared" si="11"/>
        <v>-1.3615325205358908E-3</v>
      </c>
      <c r="M46" s="36"/>
      <c r="N46" s="36"/>
      <c r="O46" s="36"/>
      <c r="P46" s="36"/>
      <c r="Q46" s="36"/>
      <c r="R46" s="36"/>
      <c r="S46" s="36"/>
      <c r="T46" s="36"/>
      <c r="U46" s="36"/>
    </row>
    <row r="47" spans="2:21" x14ac:dyDescent="0.35">
      <c r="B47" s="5" t="s">
        <v>100</v>
      </c>
      <c r="C47" s="12">
        <v>7.2000000000000008E-2</v>
      </c>
      <c r="D47" s="12">
        <v>7.0200000000000012E-2</v>
      </c>
      <c r="E47" s="12">
        <v>6.7799999999999999E-2</v>
      </c>
      <c r="F47" s="7">
        <v>6.1040921531194961E-2</v>
      </c>
      <c r="G47" s="7">
        <f t="shared" si="10"/>
        <v>-6.7590784688050382E-3</v>
      </c>
      <c r="I47" s="7">
        <v>6.9003716366966325E-2</v>
      </c>
      <c r="J47" s="7">
        <v>6.3771569663747613E-2</v>
      </c>
      <c r="K47" s="7">
        <f t="shared" si="11"/>
        <v>-5.2321467032187124E-3</v>
      </c>
      <c r="M47" s="36"/>
      <c r="N47" s="36"/>
      <c r="O47" s="36"/>
      <c r="P47" s="36"/>
      <c r="Q47" s="36"/>
      <c r="R47" s="36"/>
      <c r="S47" s="36"/>
      <c r="T47" s="36"/>
      <c r="U47" s="36"/>
    </row>
    <row r="48" spans="2:21" x14ac:dyDescent="0.35">
      <c r="B48" s="5" t="s">
        <v>16</v>
      </c>
      <c r="C48" s="12">
        <f>C46-C47</f>
        <v>-5.9000000000000025E-3</v>
      </c>
      <c r="D48" s="12">
        <f>D46-D47</f>
        <v>-4.1000000000000064E-3</v>
      </c>
      <c r="E48" s="12">
        <f>E46-E47</f>
        <v>8.3000000000000018E-3</v>
      </c>
      <c r="F48" s="7">
        <v>1.5275745135471711E-2</v>
      </c>
      <c r="G48" s="7">
        <f t="shared" si="10"/>
        <v>6.9757451354717087E-3</v>
      </c>
      <c r="I48" s="7">
        <v>7.3129502997003465E-3</v>
      </c>
      <c r="J48" s="7">
        <v>1.1183564482383168E-2</v>
      </c>
      <c r="K48" s="7">
        <f t="shared" si="11"/>
        <v>3.8706141826828216E-3</v>
      </c>
      <c r="M48" s="36"/>
      <c r="N48" s="36"/>
      <c r="O48" s="36"/>
      <c r="P48" s="36"/>
      <c r="Q48" s="36"/>
      <c r="R48" s="36"/>
      <c r="S48" s="36"/>
      <c r="T48" s="36"/>
      <c r="U48" s="36"/>
    </row>
    <row r="49" spans="2:21" x14ac:dyDescent="0.35">
      <c r="B49" s="5" t="s">
        <v>61</v>
      </c>
      <c r="C49" s="17">
        <v>11.1</v>
      </c>
      <c r="D49" s="17">
        <v>11.6</v>
      </c>
      <c r="E49" s="17">
        <v>11.9</v>
      </c>
      <c r="F49" s="17">
        <v>12.3</v>
      </c>
      <c r="G49" s="17">
        <f t="shared" si="10"/>
        <v>0.40000000000000036</v>
      </c>
      <c r="I49" s="17">
        <v>3.3</v>
      </c>
      <c r="J49" s="17">
        <v>3.4</v>
      </c>
      <c r="K49" s="17">
        <f t="shared" si="11"/>
        <v>0.10000000000000009</v>
      </c>
      <c r="M49" s="36"/>
      <c r="N49" s="36"/>
      <c r="O49" s="36"/>
      <c r="P49" s="36"/>
      <c r="Q49" s="36"/>
      <c r="R49" s="36"/>
      <c r="S49" s="36"/>
      <c r="T49" s="36"/>
      <c r="U49" s="36"/>
    </row>
    <row r="50" spans="2:21" x14ac:dyDescent="0.35">
      <c r="B50" s="44" t="s">
        <v>76</v>
      </c>
      <c r="C50" s="52"/>
      <c r="D50" s="52"/>
      <c r="E50" s="52"/>
      <c r="F50" s="52"/>
      <c r="G50" s="52"/>
      <c r="H50" s="54"/>
      <c r="I50" s="52"/>
      <c r="J50" s="52"/>
      <c r="K50" s="52"/>
      <c r="M50" s="36"/>
      <c r="N50" s="36"/>
      <c r="O50" s="36"/>
      <c r="P50" s="36"/>
      <c r="Q50" s="36"/>
      <c r="R50" s="36"/>
      <c r="S50" s="36"/>
      <c r="T50" s="36"/>
      <c r="U50" s="36"/>
    </row>
    <row r="51" spans="2:21" x14ac:dyDescent="0.35">
      <c r="B51" s="5" t="s">
        <v>99</v>
      </c>
      <c r="C51" s="12">
        <v>0.1124</v>
      </c>
      <c r="D51" s="12">
        <v>0.1171</v>
      </c>
      <c r="E51" s="12">
        <v>0.13589999999999999</v>
      </c>
      <c r="F51" s="12">
        <v>0.13320000000000001</v>
      </c>
      <c r="G51" s="7">
        <f t="shared" si="10"/>
        <v>-2.6999999999999802E-3</v>
      </c>
      <c r="I51" s="7">
        <v>0.13320000000000001</v>
      </c>
      <c r="J51" s="7">
        <v>0.12337470608598952</v>
      </c>
      <c r="K51" s="7">
        <f t="shared" si="11"/>
        <v>-9.8252939140104911E-3</v>
      </c>
      <c r="M51" s="36"/>
      <c r="N51" s="36"/>
      <c r="O51" s="36"/>
      <c r="P51" s="36"/>
      <c r="Q51" s="36"/>
      <c r="R51" s="36"/>
      <c r="S51" s="36"/>
      <c r="T51" s="36"/>
      <c r="U51" s="36"/>
    </row>
    <row r="52" spans="2:21" x14ac:dyDescent="0.35">
      <c r="B52" s="5" t="s">
        <v>100</v>
      </c>
      <c r="C52" s="12">
        <v>0.1318</v>
      </c>
      <c r="D52" s="12">
        <v>0.12498657911970756</v>
      </c>
      <c r="E52" s="12">
        <v>0.12119999999999999</v>
      </c>
      <c r="F52" s="12">
        <v>0.1136432884121565</v>
      </c>
      <c r="G52" s="7">
        <f t="shared" si="10"/>
        <v>-7.5567115878434898E-3</v>
      </c>
      <c r="I52" s="7">
        <v>0.11820867541308447</v>
      </c>
      <c r="J52" s="7">
        <v>0.11494112871943117</v>
      </c>
      <c r="K52" s="7">
        <f t="shared" si="11"/>
        <v>-3.2675466936532976E-3</v>
      </c>
      <c r="M52" s="36"/>
      <c r="N52" s="36"/>
      <c r="O52" s="36"/>
      <c r="P52" s="36"/>
      <c r="Q52" s="36"/>
      <c r="R52" s="36"/>
      <c r="S52" s="36"/>
      <c r="T52" s="36"/>
      <c r="U52" s="36"/>
    </row>
    <row r="53" spans="2:21" x14ac:dyDescent="0.35">
      <c r="B53" s="5" t="s">
        <v>16</v>
      </c>
      <c r="C53" s="12">
        <f>C51-C52</f>
        <v>-1.9400000000000001E-2</v>
      </c>
      <c r="D53" s="12">
        <f>D51-D52</f>
        <v>-7.886579119707568E-3</v>
      </c>
      <c r="E53" s="12">
        <f>E51-E52</f>
        <v>1.4700000000000005E-2</v>
      </c>
      <c r="F53" s="12">
        <v>1.9556711587843514E-2</v>
      </c>
      <c r="G53" s="7">
        <f t="shared" si="10"/>
        <v>4.8567115878435096E-3</v>
      </c>
      <c r="I53" s="7">
        <v>1.4991324586915544E-2</v>
      </c>
      <c r="J53" s="7">
        <v>8.4335773665583508E-3</v>
      </c>
      <c r="K53" s="7">
        <f t="shared" si="11"/>
        <v>-6.5577472203571935E-3</v>
      </c>
      <c r="M53" s="36"/>
      <c r="N53" s="36"/>
      <c r="O53" s="36"/>
      <c r="P53" s="36"/>
      <c r="Q53" s="36"/>
      <c r="R53" s="36"/>
      <c r="S53" s="36"/>
      <c r="T53" s="36"/>
      <c r="U53" s="36"/>
    </row>
    <row r="54" spans="2:21" x14ac:dyDescent="0.35">
      <c r="B54" s="5" t="s">
        <v>61</v>
      </c>
      <c r="C54" s="17">
        <v>14.9</v>
      </c>
      <c r="D54" s="17">
        <v>15.7</v>
      </c>
      <c r="E54" s="17">
        <v>16.3</v>
      </c>
      <c r="F54" s="17">
        <v>17.2</v>
      </c>
      <c r="G54" s="17">
        <f t="shared" si="10"/>
        <v>0.89999999999999858</v>
      </c>
      <c r="I54" s="17">
        <v>4.0999999999999996</v>
      </c>
      <c r="J54" s="17">
        <v>4.2</v>
      </c>
      <c r="K54" s="17">
        <f t="shared" si="11"/>
        <v>0.10000000000000053</v>
      </c>
      <c r="M54" s="36"/>
      <c r="N54" s="36"/>
      <c r="O54" s="36"/>
      <c r="P54" s="36"/>
      <c r="Q54" s="36"/>
      <c r="R54" s="36"/>
      <c r="S54" s="36"/>
      <c r="T54" s="36"/>
      <c r="U54" s="36"/>
    </row>
    <row r="55" spans="2:21" x14ac:dyDescent="0.35">
      <c r="B55" s="44" t="s">
        <v>12</v>
      </c>
      <c r="C55" s="52"/>
      <c r="D55" s="52"/>
      <c r="E55" s="52"/>
      <c r="F55" s="52"/>
      <c r="G55" s="52"/>
      <c r="H55" s="54"/>
      <c r="I55" s="52"/>
      <c r="J55" s="52"/>
      <c r="K55" s="52"/>
      <c r="M55" s="36"/>
      <c r="N55" s="36"/>
      <c r="O55" s="36"/>
      <c r="P55" s="36"/>
      <c r="Q55" s="36"/>
      <c r="R55" s="36"/>
      <c r="S55" s="36"/>
      <c r="T55" s="36"/>
      <c r="U55" s="36"/>
    </row>
    <row r="56" spans="2:21" x14ac:dyDescent="0.35">
      <c r="B56" s="25" t="s">
        <v>57</v>
      </c>
      <c r="C56" s="26">
        <v>207106</v>
      </c>
      <c r="D56" s="26">
        <v>211378</v>
      </c>
      <c r="E56" s="26">
        <v>217853</v>
      </c>
      <c r="F56" s="26">
        <v>219920</v>
      </c>
      <c r="G56" s="26">
        <f t="shared" si="10"/>
        <v>2067</v>
      </c>
      <c r="I56" s="38" t="s">
        <v>97</v>
      </c>
      <c r="J56" s="38" t="s">
        <v>97</v>
      </c>
      <c r="K56" s="38" t="s">
        <v>97</v>
      </c>
      <c r="M56" s="36"/>
      <c r="N56" s="36"/>
      <c r="O56" s="36"/>
      <c r="P56" s="36"/>
      <c r="Q56" s="36"/>
      <c r="R56" s="36"/>
      <c r="S56" s="36"/>
      <c r="T56" s="36"/>
      <c r="U56" s="36"/>
    </row>
    <row r="57" spans="2:21" x14ac:dyDescent="0.35">
      <c r="B57" s="25" t="s">
        <v>58</v>
      </c>
      <c r="C57" s="40">
        <v>9.9</v>
      </c>
      <c r="D57" s="40">
        <v>10.199999999999999</v>
      </c>
      <c r="E57" s="40">
        <v>10.5</v>
      </c>
      <c r="F57" s="40">
        <v>10.9</v>
      </c>
      <c r="G57" s="40">
        <f t="shared" si="10"/>
        <v>0.40000000000000036</v>
      </c>
      <c r="I57" s="38" t="s">
        <v>97</v>
      </c>
      <c r="J57" s="38" t="s">
        <v>97</v>
      </c>
      <c r="K57" s="38" t="s">
        <v>97</v>
      </c>
      <c r="M57" s="36"/>
      <c r="N57" s="36"/>
      <c r="O57" s="36"/>
      <c r="P57" s="36"/>
      <c r="Q57" s="36"/>
      <c r="R57" s="36"/>
      <c r="S57" s="36"/>
      <c r="T57" s="36"/>
      <c r="U57" s="36"/>
    </row>
    <row r="58" spans="2:21" x14ac:dyDescent="0.35">
      <c r="C58" s="34"/>
      <c r="D58" s="34"/>
      <c r="E58" s="34"/>
      <c r="M58" s="36"/>
      <c r="N58" s="36"/>
      <c r="O58" s="36"/>
      <c r="P58" s="36"/>
      <c r="Q58" s="36"/>
      <c r="R58" s="36"/>
      <c r="S58" s="36"/>
      <c r="T58" s="36"/>
      <c r="U58" s="36"/>
    </row>
  </sheetData>
  <pageMargins left="0.7" right="0.7" top="0.75" bottom="0.75" header="0.3" footer="0.3"/>
  <pageSetup paperSize="9" orientation="portrait" r:id="rId1"/>
  <ignoredErrors>
    <ignoredError sqref="J6:K10 J12:K12 J11 C33:K33" formulaRange="1"/>
    <ignoredError sqref="K11" formula="1" formulaRange="1"/>
    <ignoredError sqref="D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W36"/>
  <sheetViews>
    <sheetView showGridLines="0" workbookViewId="0">
      <selection activeCell="B2" sqref="B2"/>
    </sheetView>
  </sheetViews>
  <sheetFormatPr defaultColWidth="8.81640625" defaultRowHeight="14.5" x14ac:dyDescent="0.35"/>
  <cols>
    <col min="1" max="1" width="8.81640625" style="31"/>
    <col min="2" max="2" width="54.1796875" style="31" customWidth="1"/>
    <col min="3" max="7" width="10.7265625" style="31" customWidth="1"/>
    <col min="8" max="8" width="1.7265625" style="31" customWidth="1"/>
    <col min="9" max="11" width="10.7265625" style="31" customWidth="1"/>
    <col min="12" max="12" width="8.81640625" style="31"/>
    <col min="13" max="13" width="9.453125" style="31" bestFit="1" customWidth="1"/>
    <col min="14" max="16384" width="8.81640625" style="31"/>
  </cols>
  <sheetData>
    <row r="1" spans="2:23" x14ac:dyDescent="0.35">
      <c r="C1" s="3"/>
      <c r="D1" s="3"/>
      <c r="E1" s="3"/>
      <c r="F1" s="26"/>
      <c r="G1" s="26"/>
      <c r="I1" s="3"/>
      <c r="J1" s="26"/>
      <c r="K1" s="26"/>
    </row>
    <row r="2" spans="2:23" x14ac:dyDescent="0.35">
      <c r="B2" s="41" t="s">
        <v>5</v>
      </c>
      <c r="C2" s="42" t="s">
        <v>71</v>
      </c>
      <c r="D2" s="42" t="s">
        <v>71</v>
      </c>
      <c r="E2" s="42" t="s">
        <v>71</v>
      </c>
      <c r="F2" s="42" t="s">
        <v>71</v>
      </c>
      <c r="G2" s="42" t="s">
        <v>23</v>
      </c>
      <c r="H2" s="43"/>
      <c r="I2" s="65" t="s">
        <v>68</v>
      </c>
      <c r="J2" s="42" t="s">
        <v>68</v>
      </c>
      <c r="K2" s="42" t="s">
        <v>23</v>
      </c>
      <c r="N2" s="3"/>
    </row>
    <row r="3" spans="2:23" ht="15" thickBot="1" x14ac:dyDescent="0.4">
      <c r="B3" s="62" t="s">
        <v>0</v>
      </c>
      <c r="C3" s="63">
        <v>2014</v>
      </c>
      <c r="D3" s="63">
        <v>2015</v>
      </c>
      <c r="E3" s="63">
        <v>2016</v>
      </c>
      <c r="F3" s="63">
        <v>2017</v>
      </c>
      <c r="G3" s="64" t="s">
        <v>81</v>
      </c>
      <c r="H3" s="43"/>
      <c r="I3" s="66">
        <v>2017</v>
      </c>
      <c r="J3" s="63">
        <v>2018</v>
      </c>
      <c r="K3" s="64" t="s">
        <v>82</v>
      </c>
      <c r="N3" s="3"/>
    </row>
    <row r="4" spans="2:23" x14ac:dyDescent="0.35">
      <c r="B4" s="2" t="s">
        <v>32</v>
      </c>
      <c r="C4" s="71">
        <v>299.22800000000018</v>
      </c>
      <c r="D4" s="71">
        <v>311.61800000000056</v>
      </c>
      <c r="E4" s="71">
        <v>312.18900000000048</v>
      </c>
      <c r="F4" s="71">
        <v>334.85956230004615</v>
      </c>
      <c r="G4" s="71">
        <f>F4-E4</f>
        <v>22.670562300045674</v>
      </c>
      <c r="H4" s="72"/>
      <c r="I4" s="71">
        <v>73.047979219796119</v>
      </c>
      <c r="J4" s="71">
        <v>144.31899999999999</v>
      </c>
      <c r="K4" s="71">
        <f t="shared" ref="K4:K12" si="0">J4-I4</f>
        <v>71.27102078020387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 x14ac:dyDescent="0.35">
      <c r="B5" s="2" t="s">
        <v>98</v>
      </c>
      <c r="C5" s="71">
        <v>22.606147221013639</v>
      </c>
      <c r="D5" s="71">
        <v>72.397000000000673</v>
      </c>
      <c r="E5" s="71">
        <v>144.58423525436825</v>
      </c>
      <c r="F5" s="71">
        <v>75.95699999999988</v>
      </c>
      <c r="G5" s="71">
        <f t="shared" ref="G5:G13" si="1">F5-E5</f>
        <v>-68.627235254368372</v>
      </c>
      <c r="H5" s="72"/>
      <c r="I5" s="71">
        <v>9.7323586162657421</v>
      </c>
      <c r="J5" s="71">
        <v>18.515999999999998</v>
      </c>
      <c r="K5" s="71">
        <f t="shared" si="0"/>
        <v>8.7836413837342562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23" x14ac:dyDescent="0.35">
      <c r="B6" s="2" t="s">
        <v>70</v>
      </c>
      <c r="C6" s="73" t="s">
        <v>97</v>
      </c>
      <c r="D6" s="73" t="s">
        <v>97</v>
      </c>
      <c r="E6" s="73" t="s">
        <v>97</v>
      </c>
      <c r="F6" s="73" t="s">
        <v>97</v>
      </c>
      <c r="G6" s="73" t="s">
        <v>97</v>
      </c>
      <c r="H6" s="72"/>
      <c r="I6" s="73" t="s">
        <v>97</v>
      </c>
      <c r="J6" s="71">
        <v>1.611</v>
      </c>
      <c r="K6" s="71">
        <f>J6</f>
        <v>1.611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23" x14ac:dyDescent="0.35">
      <c r="B7" s="2" t="s">
        <v>15</v>
      </c>
      <c r="C7" s="71">
        <v>-173.78114722101355</v>
      </c>
      <c r="D7" s="71">
        <v>-223.7378191757397</v>
      </c>
      <c r="E7" s="71">
        <v>-230.84508382045973</v>
      </c>
      <c r="F7" s="71">
        <v>-246.28291100266162</v>
      </c>
      <c r="G7" s="71">
        <f t="shared" si="1"/>
        <v>-15.437827182201886</v>
      </c>
      <c r="H7" s="72"/>
      <c r="I7" s="71">
        <v>-56.394999999999996</v>
      </c>
      <c r="J7" s="71">
        <v>-64.169177584022393</v>
      </c>
      <c r="K7" s="71">
        <f t="shared" si="0"/>
        <v>-7.7741775840223966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35">
      <c r="B8" s="2" t="s">
        <v>33</v>
      </c>
      <c r="C8" s="71">
        <f t="shared" ref="C8:D8" si="2">SUM(C9:C12)</f>
        <v>-2.8030000000000133</v>
      </c>
      <c r="D8" s="71">
        <f t="shared" si="2"/>
        <v>119.44387599999999</v>
      </c>
      <c r="E8" s="71">
        <f>SUM(E9:E12)</f>
        <v>63.993000000000002</v>
      </c>
      <c r="F8" s="71">
        <f>SUM(F9:F12)</f>
        <v>82.246451050158001</v>
      </c>
      <c r="G8" s="71">
        <f t="shared" si="1"/>
        <v>18.253451050157999</v>
      </c>
      <c r="H8" s="72"/>
      <c r="I8" s="71">
        <f>SUM(I9:I12)</f>
        <v>6.3429999999999991</v>
      </c>
      <c r="J8" s="71">
        <f>SUM(J9:J12)</f>
        <v>14.355</v>
      </c>
      <c r="K8" s="71">
        <f t="shared" si="0"/>
        <v>8.0120000000000005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23" x14ac:dyDescent="0.35">
      <c r="B9" s="11" t="s">
        <v>34</v>
      </c>
      <c r="C9" s="71">
        <v>-165.72300000000001</v>
      </c>
      <c r="D9" s="71">
        <v>-131.27500000000001</v>
      </c>
      <c r="E9" s="71">
        <v>-86.338178999999997</v>
      </c>
      <c r="F9" s="71">
        <v>-75.184078999999997</v>
      </c>
      <c r="G9" s="71">
        <f t="shared" si="1"/>
        <v>11.1541</v>
      </c>
      <c r="H9" s="72"/>
      <c r="I9" s="71">
        <v>-22.839825998834939</v>
      </c>
      <c r="J9" s="71">
        <v>-6.6079999999999997</v>
      </c>
      <c r="K9" s="71">
        <f t="shared" si="0"/>
        <v>16.231825998834939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3" x14ac:dyDescent="0.35">
      <c r="B10" s="11" t="s">
        <v>18</v>
      </c>
      <c r="C10" s="71">
        <v>79.484999999999999</v>
      </c>
      <c r="D10" s="71">
        <v>86.367000000000004</v>
      </c>
      <c r="E10" s="71">
        <v>66.784000000000006</v>
      </c>
      <c r="F10" s="71">
        <v>70.993078999999994</v>
      </c>
      <c r="G10" s="71">
        <f t="shared" si="1"/>
        <v>4.2090789999999885</v>
      </c>
      <c r="H10" s="72"/>
      <c r="I10" s="71">
        <v>19.446615000000001</v>
      </c>
      <c r="J10" s="71">
        <v>16.571000000000002</v>
      </c>
      <c r="K10" s="71">
        <f t="shared" si="0"/>
        <v>-2.8756149999999998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3" x14ac:dyDescent="0.35">
      <c r="B11" s="11" t="s">
        <v>35</v>
      </c>
      <c r="C11" s="71">
        <v>98</v>
      </c>
      <c r="D11" s="71">
        <v>156</v>
      </c>
      <c r="E11" s="71">
        <v>90</v>
      </c>
      <c r="F11" s="71">
        <v>93</v>
      </c>
      <c r="G11" s="71">
        <f t="shared" si="1"/>
        <v>3</v>
      </c>
      <c r="H11" s="72"/>
      <c r="I11" s="71">
        <v>10.656412998834938</v>
      </c>
      <c r="J11" s="71">
        <v>8.0950000000000006</v>
      </c>
      <c r="K11" s="71">
        <f t="shared" si="0"/>
        <v>-2.5614129988349372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 x14ac:dyDescent="0.35">
      <c r="B12" s="11" t="s">
        <v>12</v>
      </c>
      <c r="C12" s="71">
        <v>-14.565</v>
      </c>
      <c r="D12" s="71">
        <v>8.3518759999999972</v>
      </c>
      <c r="E12" s="71">
        <v>-6.4528210000000072</v>
      </c>
      <c r="F12" s="71">
        <v>-6.5625489498420029</v>
      </c>
      <c r="G12" s="71">
        <f t="shared" si="1"/>
        <v>-0.10972794984199563</v>
      </c>
      <c r="H12" s="72"/>
      <c r="I12" s="71">
        <v>-0.92020200000000041</v>
      </c>
      <c r="J12" s="71">
        <v>-3.7029999999999994</v>
      </c>
      <c r="K12" s="71">
        <f t="shared" si="0"/>
        <v>-2.7827979999999988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x14ac:dyDescent="0.35">
      <c r="B13" s="44" t="s">
        <v>27</v>
      </c>
      <c r="C13" s="69">
        <f t="shared" ref="C13:F13" si="3">SUM(C4:C8)</f>
        <v>145.25000000000026</v>
      </c>
      <c r="D13" s="69">
        <f t="shared" si="3"/>
        <v>279.7210568242615</v>
      </c>
      <c r="E13" s="69">
        <f t="shared" si="3"/>
        <v>289.92115143390902</v>
      </c>
      <c r="F13" s="69">
        <f t="shared" si="3"/>
        <v>246.78010234754242</v>
      </c>
      <c r="G13" s="69">
        <f t="shared" si="1"/>
        <v>-43.141049086366593</v>
      </c>
      <c r="H13" s="68"/>
      <c r="I13" s="69">
        <f>SUM(I4:I8)</f>
        <v>32.728337836061861</v>
      </c>
      <c r="J13" s="69">
        <f>SUM(J4:J8)</f>
        <v>114.63182241597758</v>
      </c>
      <c r="K13" s="69">
        <f>J13-I13</f>
        <v>81.903484579915727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23" x14ac:dyDescent="0.35">
      <c r="B14" s="8" t="s">
        <v>103</v>
      </c>
      <c r="C14" s="70">
        <v>-94.125463529883277</v>
      </c>
      <c r="D14" s="70">
        <v>84.147117730128457</v>
      </c>
      <c r="E14" s="70">
        <v>-101.23108797954657</v>
      </c>
      <c r="F14" s="67">
        <v>14</v>
      </c>
      <c r="G14" s="67">
        <f>F14-E14</f>
        <v>115.23108797954657</v>
      </c>
      <c r="H14" s="68"/>
      <c r="I14" s="67">
        <v>10.351229859248091</v>
      </c>
      <c r="J14" s="67">
        <v>-255.65345044084256</v>
      </c>
      <c r="K14" s="67">
        <f>J14-I14</f>
        <v>-266.00468030009063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x14ac:dyDescent="0.35">
      <c r="B15" s="8" t="s">
        <v>104</v>
      </c>
      <c r="C15" s="70">
        <v>50.718258292059382</v>
      </c>
      <c r="D15" s="70">
        <v>62.977060449999662</v>
      </c>
      <c r="E15" s="70">
        <v>75.537088250000323</v>
      </c>
      <c r="F15" s="67">
        <v>140.46049025315006</v>
      </c>
      <c r="G15" s="67">
        <f>F15-E15</f>
        <v>64.923402003149732</v>
      </c>
      <c r="H15" s="68"/>
      <c r="I15" s="67">
        <v>30.74205581999977</v>
      </c>
      <c r="J15" s="67">
        <v>110.88191359000011</v>
      </c>
      <c r="K15" s="67">
        <f>J15-I15</f>
        <v>80.139857770000333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3" x14ac:dyDescent="0.35">
      <c r="B16" s="8" t="s">
        <v>36</v>
      </c>
      <c r="C16" s="70">
        <v>-8.2237827219789352</v>
      </c>
      <c r="D16" s="70">
        <v>39.088979237840363</v>
      </c>
      <c r="E16" s="70">
        <v>93.439336224535054</v>
      </c>
      <c r="F16" s="67">
        <v>-72.272592600692462</v>
      </c>
      <c r="G16" s="67">
        <f>F16-E16</f>
        <v>-165.71192882522752</v>
      </c>
      <c r="H16" s="68"/>
      <c r="I16" s="67">
        <v>144.03267367657932</v>
      </c>
      <c r="J16" s="67">
        <v>-70.804463149157499</v>
      </c>
      <c r="K16" s="67">
        <f>J16-I16</f>
        <v>-214.83713682573682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35">
      <c r="B17" s="44" t="s">
        <v>29</v>
      </c>
      <c r="C17" s="69">
        <f>SUM(C13:C16)</f>
        <v>93.619012040197433</v>
      </c>
      <c r="D17" s="69">
        <f>SUM(D13:D16)</f>
        <v>465.93421424222998</v>
      </c>
      <c r="E17" s="69">
        <f>SUM(E13:E16)</f>
        <v>357.66648792889782</v>
      </c>
      <c r="F17" s="69">
        <f>SUM(F13:F16)</f>
        <v>328.96800000000002</v>
      </c>
      <c r="G17" s="69">
        <f>F17-E17</f>
        <v>-28.698487928897805</v>
      </c>
      <c r="H17" s="68"/>
      <c r="I17" s="69">
        <f>SUM(I13:I16)</f>
        <v>217.85429719188903</v>
      </c>
      <c r="J17" s="69">
        <f>SUM(J13:J16)</f>
        <v>-100.94417758402237</v>
      </c>
      <c r="K17" s="69">
        <f>SUM(K13:K16)</f>
        <v>-318.79847477591136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35">
      <c r="B18" s="8" t="s">
        <v>85</v>
      </c>
      <c r="C18" s="74">
        <v>-45.805712960197368</v>
      </c>
      <c r="D18" s="74">
        <v>-45.947109931561464</v>
      </c>
      <c r="E18" s="74">
        <v>-35.093000000000004</v>
      </c>
      <c r="F18" s="71">
        <v>-29.882000000000001</v>
      </c>
      <c r="G18" s="71">
        <f>F18-E18</f>
        <v>5.2110000000000021</v>
      </c>
      <c r="H18" s="72"/>
      <c r="I18" s="71">
        <v>-8.4789999999999992</v>
      </c>
      <c r="J18" s="71">
        <v>-11.535</v>
      </c>
      <c r="K18" s="71">
        <f>J18-I18</f>
        <v>-3.0560000000000009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x14ac:dyDescent="0.35">
      <c r="B19" s="8" t="s">
        <v>86</v>
      </c>
      <c r="C19" s="73" t="s">
        <v>97</v>
      </c>
      <c r="D19" s="73" t="s">
        <v>97</v>
      </c>
      <c r="E19" s="73" t="s">
        <v>97</v>
      </c>
      <c r="F19" s="73" t="s">
        <v>97</v>
      </c>
      <c r="G19" s="73" t="s">
        <v>97</v>
      </c>
      <c r="H19" s="72"/>
      <c r="I19" s="73" t="s">
        <v>97</v>
      </c>
      <c r="J19" s="71">
        <v>0</v>
      </c>
      <c r="K19" s="71">
        <f>J19</f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x14ac:dyDescent="0.35">
      <c r="B20" s="44" t="s">
        <v>4</v>
      </c>
      <c r="C20" s="69">
        <f>SUM(C17:C19)</f>
        <v>47.813299080000064</v>
      </c>
      <c r="D20" s="69">
        <f t="shared" ref="D20:F20" si="4">SUM(D17:D19)</f>
        <v>419.98710431066854</v>
      </c>
      <c r="E20" s="69">
        <f t="shared" si="4"/>
        <v>322.5734879288978</v>
      </c>
      <c r="F20" s="69">
        <f t="shared" si="4"/>
        <v>299.08600000000001</v>
      </c>
      <c r="G20" s="69">
        <f>F20-E20</f>
        <v>-23.487487928897792</v>
      </c>
      <c r="H20" s="68"/>
      <c r="I20" s="69">
        <f>SUM(I17:I19)</f>
        <v>209.37529719188905</v>
      </c>
      <c r="J20" s="69">
        <f>SUM(J17:J19)</f>
        <v>-112.47917758402237</v>
      </c>
      <c r="K20" s="69">
        <f>J20-I20</f>
        <v>-321.8544747759114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35">
      <c r="B21" s="2"/>
      <c r="C21" s="6"/>
      <c r="D21" s="6"/>
      <c r="E21" s="6"/>
      <c r="F21" s="6"/>
      <c r="G21" s="6"/>
      <c r="I21" s="6"/>
      <c r="J21" s="6"/>
      <c r="K21" s="6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x14ac:dyDescent="0.35">
      <c r="B22" s="41" t="s">
        <v>5</v>
      </c>
      <c r="C22" s="42" t="s">
        <v>71</v>
      </c>
      <c r="D22" s="42" t="s">
        <v>71</v>
      </c>
      <c r="E22" s="42" t="s">
        <v>71</v>
      </c>
      <c r="F22" s="42" t="s">
        <v>71</v>
      </c>
      <c r="G22" s="42" t="s">
        <v>23</v>
      </c>
      <c r="H22" s="43"/>
      <c r="I22" s="65" t="s">
        <v>68</v>
      </c>
      <c r="J22" s="42" t="s">
        <v>68</v>
      </c>
      <c r="K22" s="42" t="s">
        <v>23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ht="15" thickBot="1" x14ac:dyDescent="0.4">
      <c r="B23" s="62" t="s">
        <v>24</v>
      </c>
      <c r="C23" s="63">
        <v>2014</v>
      </c>
      <c r="D23" s="63">
        <v>2015</v>
      </c>
      <c r="E23" s="63">
        <v>2016</v>
      </c>
      <c r="F23" s="63">
        <v>2017</v>
      </c>
      <c r="G23" s="64" t="s">
        <v>81</v>
      </c>
      <c r="H23" s="43"/>
      <c r="I23" s="66">
        <v>2017</v>
      </c>
      <c r="J23" s="63">
        <v>2018</v>
      </c>
      <c r="K23" s="64" t="s">
        <v>82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35">
      <c r="B24" s="44" t="s">
        <v>59</v>
      </c>
      <c r="C24" s="46">
        <f t="shared" ref="C24:F24" si="5">SUM(C25,C26)</f>
        <v>37.245713618483506</v>
      </c>
      <c r="D24" s="46">
        <f t="shared" si="5"/>
        <v>39.558602184691004</v>
      </c>
      <c r="E24" s="46">
        <f t="shared" si="5"/>
        <v>32.903756477842002</v>
      </c>
      <c r="F24" s="46">
        <f t="shared" si="5"/>
        <v>35.228710832170989</v>
      </c>
      <c r="G24" s="46">
        <f>F24-E24</f>
        <v>2.3249543543289874</v>
      </c>
      <c r="H24" s="23"/>
      <c r="I24" s="46">
        <f>SUM(I25,I26)</f>
        <v>8.0228615838739987</v>
      </c>
      <c r="J24" s="46">
        <f>SUM(J25,J26)</f>
        <v>11.66915820883839</v>
      </c>
      <c r="K24" s="46">
        <f>J24-I24</f>
        <v>3.6462966249643909</v>
      </c>
      <c r="M24" s="17"/>
      <c r="N24" s="17"/>
      <c r="O24" s="17"/>
      <c r="P24" s="17"/>
      <c r="Q24" s="17"/>
      <c r="R24" s="4"/>
      <c r="S24" s="17"/>
      <c r="T24" s="17"/>
      <c r="U24" s="17"/>
      <c r="V24" s="4"/>
      <c r="W24" s="4"/>
    </row>
    <row r="25" spans="2:23" x14ac:dyDescent="0.35">
      <c r="B25" s="11" t="s">
        <v>60</v>
      </c>
      <c r="C25" s="17">
        <v>28.962274929221586</v>
      </c>
      <c r="D25" s="17">
        <v>27.349812704372003</v>
      </c>
      <c r="E25" s="17">
        <v>20.874515424179002</v>
      </c>
      <c r="F25" s="17">
        <v>24.291999056274001</v>
      </c>
      <c r="G25" s="17">
        <f>F25-E25</f>
        <v>3.4174836320949993</v>
      </c>
      <c r="H25" s="23"/>
      <c r="I25" s="17">
        <v>5.1153217189660003</v>
      </c>
      <c r="J25" s="17">
        <v>10.013000073338389</v>
      </c>
      <c r="K25" s="17">
        <f t="shared" ref="K25:K36" si="6">J25-I25</f>
        <v>4.8976783543723892</v>
      </c>
      <c r="M25" s="17"/>
      <c r="N25" s="17"/>
      <c r="O25" s="17"/>
      <c r="P25" s="17"/>
      <c r="Q25" s="17"/>
      <c r="R25" s="4"/>
      <c r="S25" s="17"/>
      <c r="T25" s="17"/>
      <c r="U25" s="17"/>
      <c r="V25" s="4"/>
      <c r="W25" s="4"/>
    </row>
    <row r="26" spans="2:23" x14ac:dyDescent="0.35">
      <c r="B26" s="11" t="s">
        <v>72</v>
      </c>
      <c r="C26" s="17">
        <v>8.2834386892619207</v>
      </c>
      <c r="D26" s="17">
        <f t="shared" ref="D26:E26" si="7">SUM(D27:D28)</f>
        <v>12.208789480319004</v>
      </c>
      <c r="E26" s="17">
        <f t="shared" si="7"/>
        <v>12.029241053663002</v>
      </c>
      <c r="F26" s="17">
        <f>SUM(F27:F28)</f>
        <v>10.936711775896992</v>
      </c>
      <c r="G26" s="17">
        <f>F26-E26</f>
        <v>-1.0925292777660101</v>
      </c>
      <c r="H26" s="23"/>
      <c r="I26" s="17">
        <f>SUM(I27:I28)</f>
        <v>2.907539864907998</v>
      </c>
      <c r="J26" s="17">
        <f>SUM(J27:J28)</f>
        <v>1.6561581355000006</v>
      </c>
      <c r="K26" s="17">
        <f t="shared" si="6"/>
        <v>-1.2513817294079974</v>
      </c>
      <c r="M26" s="17"/>
      <c r="N26" s="17"/>
      <c r="O26" s="17"/>
      <c r="P26" s="17"/>
      <c r="Q26" s="17"/>
      <c r="R26" s="4"/>
      <c r="S26" s="17"/>
      <c r="T26" s="17"/>
      <c r="U26" s="17"/>
      <c r="V26" s="4"/>
      <c r="W26" s="4"/>
    </row>
    <row r="27" spans="2:23" x14ac:dyDescent="0.35">
      <c r="B27" s="13" t="s">
        <v>53</v>
      </c>
      <c r="C27" s="17" t="s">
        <v>62</v>
      </c>
      <c r="D27" s="17">
        <v>8.9063157106120006</v>
      </c>
      <c r="E27" s="17">
        <v>7.1950076682160011</v>
      </c>
      <c r="F27" s="17">
        <v>3.3364558057319993</v>
      </c>
      <c r="G27" s="17">
        <f>F27-E27</f>
        <v>-3.8585518624840018</v>
      </c>
      <c r="H27" s="23"/>
      <c r="I27" s="17">
        <v>0.72414473778099964</v>
      </c>
      <c r="J27" s="17">
        <v>0.50594406906590483</v>
      </c>
      <c r="K27" s="17">
        <f t="shared" si="6"/>
        <v>-0.2182006687150948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x14ac:dyDescent="0.35">
      <c r="B28" s="13" t="s">
        <v>54</v>
      </c>
      <c r="C28" s="17" t="s">
        <v>62</v>
      </c>
      <c r="D28" s="17">
        <v>3.3024737697070026</v>
      </c>
      <c r="E28" s="17">
        <v>4.8342333854470008</v>
      </c>
      <c r="F28" s="17">
        <v>7.6002559701649934</v>
      </c>
      <c r="G28" s="17">
        <f t="shared" ref="G28:G36" si="8">F28-E28</f>
        <v>2.7660225847179927</v>
      </c>
      <c r="H28" s="23"/>
      <c r="I28" s="17">
        <v>2.1833951271269982</v>
      </c>
      <c r="J28" s="17">
        <v>1.1502140664340956</v>
      </c>
      <c r="K28" s="17">
        <f t="shared" si="6"/>
        <v>-1.0331810606929026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x14ac:dyDescent="0.35">
      <c r="B29" s="44" t="s">
        <v>55</v>
      </c>
      <c r="C29" s="47">
        <v>3.9133322742656317E-2</v>
      </c>
      <c r="D29" s="47">
        <v>4.9333873492460566E-2</v>
      </c>
      <c r="E29" s="47">
        <v>5.4737501573004659E-2</v>
      </c>
      <c r="F29" s="47">
        <v>3.9050053073616864E-2</v>
      </c>
      <c r="G29" s="47">
        <f>F29-E29</f>
        <v>-1.5687448499387795E-2</v>
      </c>
      <c r="H29" s="23"/>
      <c r="I29" s="47">
        <v>3.3141113492268254E-2</v>
      </c>
      <c r="J29" s="47">
        <v>3.4000000000000002E-2</v>
      </c>
      <c r="K29" s="47">
        <f t="shared" si="6"/>
        <v>8.5888650773174868E-4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x14ac:dyDescent="0.35">
      <c r="B30" s="11" t="s">
        <v>56</v>
      </c>
      <c r="C30" s="12">
        <v>4.9000000000000002E-2</v>
      </c>
      <c r="D30" s="12">
        <v>5.2999999999999999E-2</v>
      </c>
      <c r="E30" s="12">
        <v>6.828999471259696E-2</v>
      </c>
      <c r="F30" s="12">
        <v>6.4115195796117422E-2</v>
      </c>
      <c r="G30" s="12">
        <f>F30-E30</f>
        <v>-4.1747989164795385E-3</v>
      </c>
      <c r="H30" s="23"/>
      <c r="I30" s="12">
        <v>6.8244655091143566E-2</v>
      </c>
      <c r="J30" s="12">
        <v>5.9921841978298113E-2</v>
      </c>
      <c r="K30" s="12">
        <f t="shared" si="6"/>
        <v>-8.3228131128454536E-3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x14ac:dyDescent="0.35">
      <c r="B31" s="11" t="s">
        <v>73</v>
      </c>
      <c r="C31" s="12">
        <v>1.5956052107020148E-2</v>
      </c>
      <c r="D31" s="12">
        <v>3.4782791462702335E-2</v>
      </c>
      <c r="E31" s="12">
        <v>6.1844693546392118E-2</v>
      </c>
      <c r="F31" s="12">
        <v>3.4665760081680916E-2</v>
      </c>
      <c r="G31" s="12">
        <f>F31-E31</f>
        <v>-2.7178933464711202E-2</v>
      </c>
      <c r="H31" s="23"/>
      <c r="I31" s="12">
        <v>1.6426009460715481E-2</v>
      </c>
      <c r="J31" s="12">
        <v>5.0468543019281401E-2</v>
      </c>
      <c r="K31" s="12">
        <f t="shared" si="6"/>
        <v>3.4042533558565916E-2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x14ac:dyDescent="0.35">
      <c r="B32" s="13" t="s">
        <v>53</v>
      </c>
      <c r="C32" s="12" t="s">
        <v>62</v>
      </c>
      <c r="D32" s="12">
        <v>-2.6981660315782374E-2</v>
      </c>
      <c r="E32" s="12">
        <v>-7.0000000000000001E-3</v>
      </c>
      <c r="F32" s="12">
        <v>1.5093774718429062E-2</v>
      </c>
      <c r="G32" s="12">
        <f>F32-E32</f>
        <v>2.2093774718429063E-2</v>
      </c>
      <c r="H32" s="23"/>
      <c r="I32" s="12">
        <v>-3.4866842173080524E-2</v>
      </c>
      <c r="J32" s="12">
        <v>2.3611717501809584E-2</v>
      </c>
      <c r="K32" s="12">
        <f t="shared" si="6"/>
        <v>5.8478559674890108E-2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 x14ac:dyDescent="0.35">
      <c r="B33" s="13" t="s">
        <v>54</v>
      </c>
      <c r="C33" s="12" t="s">
        <v>62</v>
      </c>
      <c r="D33" s="12">
        <v>0.17530217323365427</v>
      </c>
      <c r="E33" s="12">
        <v>0.15355213882183802</v>
      </c>
      <c r="F33" s="12">
        <v>4.0959191354374008E-2</v>
      </c>
      <c r="G33" s="12">
        <f>F33-E33</f>
        <v>-0.11259294746746401</v>
      </c>
      <c r="H33" s="23"/>
      <c r="I33" s="12">
        <v>3.140190400482696E-2</v>
      </c>
      <c r="J33" s="12">
        <v>5.9562191056015464E-2</v>
      </c>
      <c r="K33" s="12">
        <f t="shared" si="6"/>
        <v>2.8160287051188504E-2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 x14ac:dyDescent="0.35">
      <c r="B34" s="48" t="s">
        <v>12</v>
      </c>
      <c r="C34" s="49"/>
      <c r="D34" s="49"/>
      <c r="E34" s="49"/>
      <c r="F34" s="49"/>
      <c r="G34" s="49"/>
      <c r="H34" s="23"/>
      <c r="I34" s="49"/>
      <c r="J34" s="49"/>
      <c r="K34" s="4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 x14ac:dyDescent="0.35">
      <c r="B35" s="27" t="s">
        <v>63</v>
      </c>
      <c r="C35" s="17">
        <v>8.8264359999999993</v>
      </c>
      <c r="D35" s="17">
        <v>8.9264510000000001</v>
      </c>
      <c r="E35" s="17">
        <v>8.9866869999999999</v>
      </c>
      <c r="F35" s="17">
        <v>9.1999999999999993</v>
      </c>
      <c r="G35" s="17">
        <f t="shared" si="8"/>
        <v>0.21331299999999942</v>
      </c>
      <c r="H35" s="23"/>
      <c r="I35" s="17">
        <v>9.0265599999999999</v>
      </c>
      <c r="J35" s="17">
        <v>9.2682190000000002</v>
      </c>
      <c r="K35" s="17">
        <f t="shared" si="6"/>
        <v>0.24165900000000029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x14ac:dyDescent="0.35">
      <c r="B36" s="2" t="s">
        <v>17</v>
      </c>
      <c r="C36" s="12">
        <v>8.9999999999999993E-3</v>
      </c>
      <c r="D36" s="12">
        <v>0.03</v>
      </c>
      <c r="E36" s="12">
        <v>2.9000000000000001E-2</v>
      </c>
      <c r="F36" s="12">
        <v>1.2E-2</v>
      </c>
      <c r="G36" s="12">
        <f t="shared" si="8"/>
        <v>-1.7000000000000001E-2</v>
      </c>
      <c r="H36" s="23"/>
      <c r="I36" s="12">
        <v>4.0000000000000001E-3</v>
      </c>
      <c r="J36" s="12">
        <v>1.4923678819220956E-3</v>
      </c>
      <c r="K36" s="12">
        <f t="shared" si="6"/>
        <v>-2.5076321180779043E-3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</sheetData>
  <pageMargins left="0.7" right="0.7" top="0.75" bottom="0.75" header="0.3" footer="0.3"/>
  <pageSetup paperSize="9" orientation="portrait" r:id="rId1"/>
  <ignoredErrors>
    <ignoredError sqref="K6 K19" formula="1"/>
    <ignoredError sqref="D26:F26 H26:K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FactSheet_Disco</vt:lpstr>
      <vt:lpstr>FactSheet _Retail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>Hizmete Özel</cp:keywords>
  <cp:lastModifiedBy>Sibel TURHAN</cp:lastModifiedBy>
  <cp:lastPrinted>2018-05-18T06:51:30Z</cp:lastPrinted>
  <dcterms:created xsi:type="dcterms:W3CDTF">2017-09-20T15:45:50Z</dcterms:created>
  <dcterms:modified xsi:type="dcterms:W3CDTF">2018-05-30T10:52:56Z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e462a0ca-76a6-4233-b448-68e133206230</vt:lpwstr>
  </property>
  <property fmtid="{D5CDD505-2E9C-101B-9397-08002B2CF9AE}" pid="4" name="CLASSIFICATION">
    <vt:lpwstr>I4886p293727nO8</vt:lpwstr>
  </property>
</Properties>
</file>