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19\5Nov19\Factsheet\"/>
    </mc:Choice>
  </mc:AlternateContent>
  <bookViews>
    <workbookView xWindow="-130" yWindow="560" windowWidth="12500" windowHeight="7480" activeTab="2"/>
  </bookViews>
  <sheets>
    <sheet name="FactSheet_Cons" sheetId="28" r:id="rId1"/>
    <sheet name="FactSheet _Retail" sheetId="29" r:id="rId2"/>
    <sheet name="FactSheet_Disco" sheetId="3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1" hidden="1">[1]TABLO!#REF!</definedName>
    <definedName name="__123Graph_A" localSheetId="0" hidden="1">[1]TABLO!#REF!</definedName>
    <definedName name="__123Graph_A" hidden="1">[1]TABLO!#REF!</definedName>
    <definedName name="__123Graph_ARISK" localSheetId="1" hidden="1">#REF!</definedName>
    <definedName name="__123Graph_ARISK" localSheetId="0" hidden="1">#REF!</definedName>
    <definedName name="__123Graph_ARISK" hidden="1">#REF!</definedName>
    <definedName name="__123Graph_B" localSheetId="1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1" hidden="1">#REF!</definedName>
    <definedName name="__123Graph_BRISK" localSheetId="0" hidden="1">#REF!</definedName>
    <definedName name="__123Graph_BRISK" hidden="1">#REF!</definedName>
    <definedName name="__123Graph_C" localSheetId="1" hidden="1">[2]FONKON2005!#REF!</definedName>
    <definedName name="__123Graph_C" localSheetId="0" hidden="1">[2]FONKON2005!#REF!</definedName>
    <definedName name="__123Graph_C" hidden="1">[2]FONKON2005!#REF!</definedName>
    <definedName name="__123Graph_D" localSheetId="1" hidden="1">[2]FONKON2005!#REF!</definedName>
    <definedName name="__123Graph_D" localSheetId="0" hidden="1">[2]FONKON2005!#REF!</definedName>
    <definedName name="__123Graph_D" hidden="1">[2]FONKON2005!#REF!</definedName>
    <definedName name="__123Graph_E" localSheetId="1" hidden="1">[2]FONKON2005!#REF!</definedName>
    <definedName name="__123Graph_E" localSheetId="0" hidden="1">[2]FONKON2005!#REF!</definedName>
    <definedName name="__123Graph_E" hidden="1">[2]FONKON2005!#REF!</definedName>
    <definedName name="__123Graph_F" localSheetId="1" hidden="1">[2]FONKON2005!#REF!</definedName>
    <definedName name="__123Graph_F" localSheetId="0" hidden="1">[2]FONKON2005!#REF!</definedName>
    <definedName name="__123Graph_F" hidden="1">[2]FONKON2005!#REF!</definedName>
    <definedName name="__123Graph_X" localSheetId="1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1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1" hidden="1">[3]SEMANAIS!#REF!</definedName>
    <definedName name="_10____0_S" localSheetId="0" hidden="1">[3]SEMANAIS!#REF!</definedName>
    <definedName name="_10____0_S" hidden="1">[3]SEMANAIS!#REF!</definedName>
    <definedName name="_11___0_S" localSheetId="1" hidden="1">[3]SEMANAIS!#REF!</definedName>
    <definedName name="_11___0_S" localSheetId="0" hidden="1">[3]SEMANAIS!#REF!</definedName>
    <definedName name="_11___0_S" hidden="1">[3]SEMANAIS!#REF!</definedName>
    <definedName name="_12_0_S" localSheetId="1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1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1" hidden="1">[3]SEMANAIS!#REF!</definedName>
    <definedName name="_2S" localSheetId="0" hidden="1">[3]SEMANAIS!#REF!</definedName>
    <definedName name="_2S" hidden="1">[3]SEMANAIS!#REF!</definedName>
    <definedName name="_3_______________________0_S" localSheetId="1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1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1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1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1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1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1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1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1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1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hidden="1">[5]INVESTISSEMENTS!$A$2:$L$113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1" hidden="1">#REF!</definedName>
    <definedName name="_Sort" localSheetId="0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1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1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1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isposal2005" localSheetId="1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1" hidden="1">#REF!</definedName>
    <definedName name="et4rtretg" localSheetId="0" hidden="1">#REF!</definedName>
    <definedName name="et4rtretg" hidden="1">#REF!</definedName>
    <definedName name="etrt" localSheetId="1" hidden="1">#REF!</definedName>
    <definedName name="etrt" localSheetId="0" hidden="1">#REF!</definedName>
    <definedName name="etrt" hidden="1">#REF!</definedName>
    <definedName name="etter" localSheetId="1" hidden="1">#REF!</definedName>
    <definedName name="etter" localSheetId="0" hidden="1">#REF!</definedName>
    <definedName name="etter" hidden="1">#REF!</definedName>
    <definedName name="FCode" localSheetId="1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1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1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1" hidden="1">Main.SAPF4Help()</definedName>
    <definedName name="KH" localSheetId="0" hidden="1">Main.SAPF4Help()</definedName>
    <definedName name="KH" hidden="1">Main.SAPF4Help()</definedName>
    <definedName name="lşiiş" localSheetId="1" hidden="1">#REF!</definedName>
    <definedName name="lşiiş" localSheetId="0" hidden="1">#REF!</definedName>
    <definedName name="lşiiş" hidden="1">#REF!</definedName>
    <definedName name="lşilş" localSheetId="1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1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1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1" hidden="1">#REF!</definedName>
    <definedName name="SIG_CONTROLE" localSheetId="0" hidden="1">#REF!</definedName>
    <definedName name="SIG_CONTROLE" hidden="1">#REF!</definedName>
    <definedName name="SIG_YCPATB3_H0069" localSheetId="1" hidden="1">#REF!</definedName>
    <definedName name="SIG_YCPATB3_H0069" localSheetId="0" hidden="1">#REF!</definedName>
    <definedName name="SIG_YCPATB3_H0069" hidden="1">#REF!</definedName>
    <definedName name="SIG_YCPATB3_H0070" localSheetId="1" hidden="1">#REF!</definedName>
    <definedName name="SIG_YCPATB3_H0070" localSheetId="0" hidden="1">#REF!</definedName>
    <definedName name="SIG_YCPATB3_H0070" hidden="1">#REF!</definedName>
    <definedName name="SIG_YCPATB3_H0071" localSheetId="1" hidden="1">#REF!</definedName>
    <definedName name="SIG_YCPATB3_H0071" localSheetId="0" hidden="1">#REF!</definedName>
    <definedName name="SIG_YCPATB3_H0071" hidden="1">#REF!</definedName>
    <definedName name="SIG_YCPATB3_H0072" localSheetId="1" hidden="1">#REF!</definedName>
    <definedName name="SIG_YCPATB3_H0072" localSheetId="0" hidden="1">#REF!</definedName>
    <definedName name="SIG_YCPATB3_H0072" hidden="1">#REF!</definedName>
    <definedName name="SIG_YCPATB3_H0073" localSheetId="1" hidden="1">#REF!</definedName>
    <definedName name="SIG_YCPATB3_H0073" localSheetId="0" hidden="1">#REF!</definedName>
    <definedName name="SIG_YCPATB3_H0073" hidden="1">#REF!</definedName>
    <definedName name="SIG_YCPATB3_H0074" localSheetId="1" hidden="1">#REF!</definedName>
    <definedName name="SIG_YCPATB3_H0074" localSheetId="0" hidden="1">#REF!</definedName>
    <definedName name="SIG_YCPATB3_H0074" hidden="1">#REF!</definedName>
    <definedName name="SIG_YCPATB3_H0075" localSheetId="1" hidden="1">#REF!</definedName>
    <definedName name="SIG_YCPATB3_H0075" localSheetId="0" hidden="1">#REF!</definedName>
    <definedName name="SIG_YCPATB3_H0075" hidden="1">#REF!</definedName>
    <definedName name="SIG_YCPATB3_H0076" localSheetId="1" hidden="1">#REF!</definedName>
    <definedName name="SIG_YCPATB3_H0076" localSheetId="0" hidden="1">#REF!</definedName>
    <definedName name="SIG_YCPATB3_H0076" hidden="1">#REF!</definedName>
    <definedName name="SIG_YCPATB3_H0077" localSheetId="1" hidden="1">#REF!</definedName>
    <definedName name="SIG_YCPATB3_H0077" localSheetId="0" hidden="1">#REF!</definedName>
    <definedName name="SIG_YCPATB3_H0077" hidden="1">#REF!</definedName>
    <definedName name="SIG_YCPATB3_H0078" localSheetId="1" hidden="1">#REF!</definedName>
    <definedName name="SIG_YCPATB3_H0078" localSheetId="0" hidden="1">#REF!</definedName>
    <definedName name="SIG_YCPATB3_H0078" hidden="1">#REF!</definedName>
    <definedName name="SIG_YCPATB3_H0079" localSheetId="1" hidden="1">#REF!</definedName>
    <definedName name="SIG_YCPATB3_H0079" localSheetId="0" hidden="1">#REF!</definedName>
    <definedName name="SIG_YCPATB3_H0079" hidden="1">#REF!</definedName>
    <definedName name="SIG_YCPATB3_H0080" localSheetId="1" hidden="1">#REF!</definedName>
    <definedName name="SIG_YCPATB3_H0080" localSheetId="0" hidden="1">#REF!</definedName>
    <definedName name="SIG_YCPATB3_H0080" hidden="1">#REF!</definedName>
    <definedName name="SIG_YCPATB3_H0081" localSheetId="1" hidden="1">#REF!</definedName>
    <definedName name="SIG_YCPATB3_H0081" localSheetId="0" hidden="1">#REF!</definedName>
    <definedName name="SIG_YCPATB3_H0081" hidden="1">#REF!</definedName>
    <definedName name="SIG_YCPATB3_H0082" localSheetId="1" hidden="1">#REF!</definedName>
    <definedName name="SIG_YCPATB3_H0082" localSheetId="0" hidden="1">#REF!</definedName>
    <definedName name="SIG_YCPATB3_H0082" hidden="1">#REF!</definedName>
    <definedName name="SIG_YCPATB3_H0083" localSheetId="1" hidden="1">#REF!</definedName>
    <definedName name="SIG_YCPATB3_H0083" localSheetId="0" hidden="1">#REF!</definedName>
    <definedName name="SIG_YCPATB3_H0083" hidden="1">#REF!</definedName>
    <definedName name="SIG_YCPATB3_H0084" localSheetId="1" hidden="1">#REF!</definedName>
    <definedName name="SIG_YCPATB3_H0084" localSheetId="0" hidden="1">#REF!</definedName>
    <definedName name="SIG_YCPATB3_H0084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1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K8" i="29" l="1"/>
  <c r="J8" i="29"/>
  <c r="L21" i="28"/>
  <c r="L11" i="30" l="1"/>
  <c r="J39" i="28" l="1"/>
  <c r="L39" i="28" s="1"/>
  <c r="L32" i="29"/>
  <c r="J41" i="28"/>
  <c r="L41" i="28" s="1"/>
  <c r="J6" i="30" l="1"/>
  <c r="J24" i="30" l="1"/>
  <c r="K26" i="29" l="1"/>
  <c r="K24" i="30" l="1"/>
  <c r="K6" i="30"/>
  <c r="H34" i="28" l="1"/>
  <c r="L27" i="28"/>
  <c r="J28" i="28" l="1"/>
  <c r="L57" i="30" l="1"/>
  <c r="L56" i="30"/>
  <c r="F28" i="28" l="1"/>
  <c r="F58" i="28"/>
  <c r="J55" i="28"/>
  <c r="K13" i="29" l="1"/>
  <c r="K14" i="30" l="1"/>
  <c r="H57" i="28"/>
  <c r="F38" i="28"/>
  <c r="F41" i="28"/>
  <c r="L27" i="29" l="1"/>
  <c r="L52" i="30"/>
  <c r="L41" i="30"/>
  <c r="L9" i="29"/>
  <c r="L54" i="30"/>
  <c r="L46" i="30"/>
  <c r="L34" i="30"/>
  <c r="L10" i="30"/>
  <c r="L19" i="29"/>
  <c r="L7" i="29"/>
  <c r="L6" i="29"/>
  <c r="L26" i="28"/>
  <c r="L11" i="28"/>
  <c r="L30" i="29" l="1"/>
  <c r="L4" i="30"/>
  <c r="L35" i="29"/>
  <c r="L51" i="30"/>
  <c r="L20" i="30"/>
  <c r="L12" i="29"/>
  <c r="L29" i="29"/>
  <c r="L23" i="30"/>
  <c r="L49" i="30"/>
  <c r="L8" i="30"/>
  <c r="L17" i="30"/>
  <c r="L14" i="29"/>
  <c r="L9" i="30"/>
  <c r="L12" i="30"/>
  <c r="L10" i="29"/>
  <c r="L36" i="29"/>
  <c r="L31" i="29"/>
  <c r="L44" i="30"/>
  <c r="L15" i="30"/>
  <c r="L22" i="30"/>
  <c r="L47" i="30"/>
  <c r="L18" i="29"/>
  <c r="G41" i="28" l="1"/>
  <c r="L5" i="30"/>
  <c r="L11" i="29"/>
  <c r="L5" i="29"/>
  <c r="L15" i="29"/>
  <c r="L48" i="30"/>
  <c r="L53" i="30"/>
  <c r="L42" i="30"/>
  <c r="L7" i="30"/>
  <c r="K55" i="28"/>
  <c r="L55" i="28" s="1"/>
  <c r="L43" i="30" l="1"/>
  <c r="G28" i="28"/>
  <c r="L16" i="30"/>
  <c r="L6" i="30"/>
  <c r="L21" i="30" l="1"/>
  <c r="L24" i="30" l="1"/>
  <c r="H59" i="28" l="1"/>
  <c r="H31" i="28" l="1"/>
  <c r="H29" i="28"/>
  <c r="G26" i="28" l="1"/>
  <c r="H11" i="28"/>
  <c r="H26" i="28" l="1"/>
  <c r="G40" i="28"/>
  <c r="H40" i="28" l="1"/>
  <c r="K24" i="29" l="1"/>
  <c r="G26" i="29"/>
  <c r="H54" i="30" l="1"/>
  <c r="H51" i="30"/>
  <c r="H49" i="30"/>
  <c r="H47" i="30"/>
  <c r="H44" i="30"/>
  <c r="H42" i="30"/>
  <c r="H36" i="30"/>
  <c r="H23" i="30"/>
  <c r="H22" i="30"/>
  <c r="H20" i="30"/>
  <c r="H17" i="30"/>
  <c r="H15" i="30"/>
  <c r="H12" i="30"/>
  <c r="H11" i="30"/>
  <c r="H10" i="30"/>
  <c r="H9" i="30"/>
  <c r="H4" i="30"/>
  <c r="H57" i="30"/>
  <c r="H56" i="30"/>
  <c r="H34" i="30"/>
  <c r="H11" i="29"/>
  <c r="H10" i="29"/>
  <c r="H9" i="29"/>
  <c r="H7" i="29"/>
  <c r="H6" i="29"/>
  <c r="H36" i="29"/>
  <c r="H33" i="29"/>
  <c r="H32" i="29"/>
  <c r="H31" i="29"/>
  <c r="H30" i="29"/>
  <c r="H29" i="29"/>
  <c r="H28" i="29"/>
  <c r="H27" i="29"/>
  <c r="H31" i="30" l="1"/>
  <c r="H15" i="29"/>
  <c r="H14" i="29"/>
  <c r="H19" i="28"/>
  <c r="H21" i="28"/>
  <c r="H20" i="28"/>
  <c r="H18" i="29"/>
  <c r="H19" i="29"/>
  <c r="H5" i="30"/>
  <c r="G38" i="28"/>
  <c r="G6" i="30"/>
  <c r="G39" i="28"/>
  <c r="H52" i="30"/>
  <c r="H46" i="30"/>
  <c r="H41" i="30"/>
  <c r="H8" i="30"/>
  <c r="H7" i="30"/>
  <c r="G8" i="29"/>
  <c r="G24" i="30" l="1"/>
  <c r="H39" i="28"/>
  <c r="H43" i="30"/>
  <c r="H48" i="30"/>
  <c r="H21" i="30"/>
  <c r="H53" i="30"/>
  <c r="G14" i="30"/>
  <c r="H37" i="30" l="1"/>
  <c r="H4" i="29"/>
  <c r="H14" i="30"/>
  <c r="H35" i="29"/>
  <c r="H25" i="29"/>
  <c r="G24" i="29"/>
  <c r="G13" i="29"/>
  <c r="H38" i="30" l="1"/>
  <c r="H30" i="30"/>
  <c r="L30" i="30" l="1"/>
  <c r="J14" i="30" l="1"/>
  <c r="J19" i="30" l="1"/>
  <c r="J25" i="30" l="1"/>
  <c r="F12" i="29" l="1"/>
  <c r="F5" i="29"/>
  <c r="H5" i="29" l="1"/>
  <c r="H12" i="29"/>
  <c r="E53" i="30" l="1"/>
  <c r="D53" i="30"/>
  <c r="C53" i="30"/>
  <c r="E48" i="30"/>
  <c r="D48" i="30"/>
  <c r="C48" i="30"/>
  <c r="E43" i="30"/>
  <c r="D43" i="30"/>
  <c r="C43" i="30"/>
  <c r="F39" i="30"/>
  <c r="E39" i="30"/>
  <c r="D39" i="30"/>
  <c r="C39" i="30"/>
  <c r="F33" i="30"/>
  <c r="E33" i="30"/>
  <c r="D33" i="30"/>
  <c r="C33" i="30"/>
  <c r="F24" i="30"/>
  <c r="E24" i="30"/>
  <c r="D24" i="30"/>
  <c r="C24" i="30"/>
  <c r="F16" i="30"/>
  <c r="E16" i="30"/>
  <c r="D16" i="30"/>
  <c r="C16" i="30"/>
  <c r="F6" i="30"/>
  <c r="E6" i="30"/>
  <c r="D6" i="30"/>
  <c r="C6" i="30"/>
  <c r="F26" i="29"/>
  <c r="E26" i="29"/>
  <c r="D26" i="29"/>
  <c r="C24" i="29"/>
  <c r="E8" i="29"/>
  <c r="D8" i="29"/>
  <c r="C8" i="29"/>
  <c r="E55" i="28"/>
  <c r="D55" i="28"/>
  <c r="F50" i="28"/>
  <c r="E50" i="28"/>
  <c r="D50" i="28"/>
  <c r="C50" i="28"/>
  <c r="H41" i="28"/>
  <c r="H38" i="28"/>
  <c r="D38" i="28"/>
  <c r="E33" i="28"/>
  <c r="D33" i="28"/>
  <c r="C33" i="28"/>
  <c r="E27" i="28"/>
  <c r="D27" i="28"/>
  <c r="C27" i="28"/>
  <c r="F25" i="28"/>
  <c r="E25" i="28"/>
  <c r="D25" i="28"/>
  <c r="C25" i="28"/>
  <c r="C24" i="28"/>
  <c r="C18" i="28"/>
  <c r="F16" i="28"/>
  <c r="E6" i="28"/>
  <c r="D6" i="28"/>
  <c r="C6" i="28"/>
  <c r="C28" i="28" l="1"/>
  <c r="D28" i="28"/>
  <c r="E28" i="28"/>
  <c r="D9" i="28"/>
  <c r="D53" i="28"/>
  <c r="C14" i="30"/>
  <c r="E53" i="28"/>
  <c r="C13" i="29"/>
  <c r="D24" i="29"/>
  <c r="D14" i="30"/>
  <c r="D13" i="29"/>
  <c r="E13" i="30"/>
  <c r="E19" i="30"/>
  <c r="C9" i="28"/>
  <c r="C22" i="28"/>
  <c r="C53" i="28"/>
  <c r="E13" i="29"/>
  <c r="H6" i="30"/>
  <c r="H24" i="30"/>
  <c r="H39" i="30"/>
  <c r="F53" i="28"/>
  <c r="F24" i="28"/>
  <c r="F13" i="30"/>
  <c r="F19" i="30"/>
  <c r="H16" i="30"/>
  <c r="F24" i="29"/>
  <c r="H26" i="29"/>
  <c r="F18" i="28"/>
  <c r="E24" i="29"/>
  <c r="E9" i="28"/>
  <c r="C37" i="28" l="1"/>
  <c r="H13" i="30"/>
  <c r="E17" i="29"/>
  <c r="C60" i="28"/>
  <c r="E25" i="30"/>
  <c r="D17" i="29"/>
  <c r="C19" i="30"/>
  <c r="H24" i="29"/>
  <c r="D19" i="30"/>
  <c r="C17" i="29"/>
  <c r="H29" i="30"/>
  <c r="D56" i="28"/>
  <c r="E56" i="28"/>
  <c r="D16" i="28"/>
  <c r="F37" i="28"/>
  <c r="F22" i="28"/>
  <c r="F25" i="30"/>
  <c r="E16" i="28"/>
  <c r="D58" i="28" l="1"/>
  <c r="E58" i="28"/>
  <c r="C42" i="28"/>
  <c r="D24" i="28"/>
  <c r="D18" i="28"/>
  <c r="C20" i="29"/>
  <c r="C25" i="30"/>
  <c r="E20" i="29"/>
  <c r="D25" i="30"/>
  <c r="D20" i="29"/>
  <c r="F60" i="28"/>
  <c r="F42" i="28"/>
  <c r="E24" i="28"/>
  <c r="E18" i="28"/>
  <c r="C43" i="28" l="1"/>
  <c r="D22" i="28"/>
  <c r="D37" i="28"/>
  <c r="E22" i="28"/>
  <c r="E37" i="28"/>
  <c r="F45" i="28"/>
  <c r="F43" i="28"/>
  <c r="F46" i="28" l="1"/>
  <c r="D42" i="28"/>
  <c r="E42" i="28"/>
  <c r="D60" i="28"/>
  <c r="E43" i="28" l="1"/>
  <c r="D43" i="28"/>
  <c r="L38" i="30" l="1"/>
  <c r="L32" i="30" l="1"/>
  <c r="L13" i="30" l="1"/>
  <c r="L14" i="30" l="1"/>
  <c r="L8" i="29" l="1"/>
  <c r="J13" i="29"/>
  <c r="L28" i="29"/>
  <c r="L25" i="29"/>
  <c r="J26" i="29"/>
  <c r="L4" i="29" l="1"/>
  <c r="J24" i="29"/>
  <c r="J17" i="29"/>
  <c r="L13" i="29"/>
  <c r="L26" i="29"/>
  <c r="F8" i="29"/>
  <c r="J20" i="29" l="1"/>
  <c r="H8" i="29"/>
  <c r="L24" i="29"/>
  <c r="F13" i="29"/>
  <c r="H13" i="29" l="1"/>
  <c r="F17" i="29"/>
  <c r="F20" i="29" l="1"/>
  <c r="J33" i="30" l="1"/>
  <c r="L37" i="30" l="1"/>
  <c r="L39" i="30"/>
  <c r="G19" i="30" l="1"/>
  <c r="G25" i="30" l="1"/>
  <c r="H19" i="30"/>
  <c r="H18" i="30"/>
  <c r="H25" i="30" l="1"/>
  <c r="H15" i="28" l="1"/>
  <c r="H14" i="28"/>
  <c r="H33" i="28"/>
  <c r="H13" i="28" l="1"/>
  <c r="H36" i="28"/>
  <c r="H35" i="28" l="1"/>
  <c r="H28" i="28" s="1"/>
  <c r="H17" i="28"/>
  <c r="H32" i="30" l="1"/>
  <c r="G33" i="30"/>
  <c r="H33" i="30" l="1"/>
  <c r="L29" i="30" l="1"/>
  <c r="H51" i="28" l="1"/>
  <c r="G25" i="28" l="1"/>
  <c r="H10" i="28"/>
  <c r="H25" i="28" l="1"/>
  <c r="H5" i="28"/>
  <c r="H7" i="28" l="1"/>
  <c r="G6" i="28" l="1"/>
  <c r="H4" i="28"/>
  <c r="H8" i="28"/>
  <c r="H6" i="28" l="1"/>
  <c r="G9" i="28"/>
  <c r="G16" i="28" l="1"/>
  <c r="H9" i="28"/>
  <c r="H52" i="28" l="1"/>
  <c r="G24" i="28"/>
  <c r="H16" i="28"/>
  <c r="G18" i="28"/>
  <c r="G22" i="28" l="1"/>
  <c r="H18" i="28"/>
  <c r="G37" i="28"/>
  <c r="H24" i="28"/>
  <c r="G60" i="28" l="1"/>
  <c r="H22" i="28"/>
  <c r="H37" i="28"/>
  <c r="G42" i="28"/>
  <c r="H60" i="28" l="1"/>
  <c r="H42" i="28"/>
  <c r="G43" i="28"/>
  <c r="H43" i="28" l="1"/>
  <c r="H44" i="28" l="1"/>
  <c r="G45" i="28"/>
  <c r="H45" i="28" l="1"/>
  <c r="G46" i="28"/>
  <c r="H46" i="28" l="1"/>
  <c r="H49" i="28" l="1"/>
  <c r="G50" i="28" l="1"/>
  <c r="H48" i="28"/>
  <c r="H56" i="28" l="1"/>
  <c r="G53" i="28"/>
  <c r="H50" i="28"/>
  <c r="H53" i="28" l="1"/>
  <c r="H16" i="29" l="1"/>
  <c r="G17" i="29"/>
  <c r="G20" i="29" l="1"/>
  <c r="H17" i="29"/>
  <c r="H55" i="28" l="1"/>
  <c r="H20" i="29"/>
  <c r="H58" i="28" l="1"/>
  <c r="L57" i="28" l="1"/>
  <c r="L59" i="28" l="1"/>
  <c r="L20" i="28" l="1"/>
  <c r="H32" i="28" l="1"/>
  <c r="H30" i="28" l="1"/>
  <c r="L36" i="28" l="1"/>
  <c r="L8" i="28"/>
  <c r="J6" i="28"/>
  <c r="J9" i="28" s="1"/>
  <c r="J25" i="28"/>
  <c r="J16" i="28" l="1"/>
  <c r="J24" i="28" l="1"/>
  <c r="J18" i="28"/>
  <c r="L14" i="28" l="1"/>
  <c r="L5" i="28"/>
  <c r="L7" i="28"/>
  <c r="L13" i="28"/>
  <c r="L15" i="28"/>
  <c r="J37" i="28"/>
  <c r="L17" i="28"/>
  <c r="L19" i="28"/>
  <c r="J22" i="28"/>
  <c r="L38" i="28" l="1"/>
  <c r="K25" i="28"/>
  <c r="L25" i="28" s="1"/>
  <c r="L10" i="28"/>
  <c r="J42" i="28"/>
  <c r="K6" i="28"/>
  <c r="L4" i="28"/>
  <c r="K9" i="28" l="1"/>
  <c r="L6" i="28"/>
  <c r="L31" i="30" l="1"/>
  <c r="K33" i="30"/>
  <c r="L33" i="30" s="1"/>
  <c r="K16" i="28"/>
  <c r="L9" i="28"/>
  <c r="K24" i="28" l="1"/>
  <c r="K18" i="28"/>
  <c r="L16" i="28"/>
  <c r="L18" i="28" l="1"/>
  <c r="K22" i="28"/>
  <c r="L24" i="28"/>
  <c r="L22" i="28" l="1"/>
  <c r="L51" i="28" l="1"/>
  <c r="L52" i="28" l="1"/>
  <c r="J50" i="28" l="1"/>
  <c r="J53" i="28" l="1"/>
  <c r="L58" i="28" l="1"/>
  <c r="L48" i="28" l="1"/>
  <c r="L49" i="28" l="1"/>
  <c r="K50" i="28"/>
  <c r="K53" i="28" l="1"/>
  <c r="L53" i="28" s="1"/>
  <c r="L50" i="28"/>
  <c r="L56" i="28" l="1"/>
  <c r="L33" i="28" l="1"/>
  <c r="L35" i="28"/>
  <c r="L31" i="28"/>
  <c r="L34" i="28"/>
  <c r="L29" i="28" l="1"/>
  <c r="K28" i="28"/>
  <c r="L28" i="28" l="1"/>
  <c r="K37" i="28"/>
  <c r="K42" i="28" l="1"/>
  <c r="L37" i="28"/>
  <c r="L42" i="28" l="1"/>
  <c r="L43" i="28"/>
  <c r="K17" i="29" l="1"/>
  <c r="L16" i="29"/>
  <c r="K19" i="30" l="1"/>
  <c r="L18" i="30"/>
  <c r="K20" i="29"/>
  <c r="L20" i="29" s="1"/>
  <c r="L17" i="29"/>
  <c r="K25" i="30" l="1"/>
  <c r="L25" i="30" s="1"/>
  <c r="L19" i="30"/>
  <c r="L32" i="28" l="1"/>
  <c r="L30" i="28" l="1"/>
</calcChain>
</file>

<file path=xl/sharedStrings.xml><?xml version="1.0" encoding="utf-8"?>
<sst xmlns="http://schemas.openxmlformats.org/spreadsheetml/2006/main" count="308" uniqueCount="113">
  <si>
    <t>Financials</t>
  </si>
  <si>
    <t>Distribution</t>
  </si>
  <si>
    <t>EBITDA</t>
  </si>
  <si>
    <t>EBITDA + Capex reimbursements</t>
  </si>
  <si>
    <t>Free Cash Flow (before interest &amp; tax)</t>
  </si>
  <si>
    <t>Retail</t>
  </si>
  <si>
    <t>Free Cash Flow (after interest &amp; tax)</t>
  </si>
  <si>
    <t>Capex outperformance</t>
  </si>
  <si>
    <t>Opex outperformance</t>
  </si>
  <si>
    <t>T&amp;L outperformance</t>
  </si>
  <si>
    <t>Tax correction</t>
  </si>
  <si>
    <t>Theft accrual &amp; collection</t>
  </si>
  <si>
    <t>Other</t>
  </si>
  <si>
    <t>Capex reimbursements</t>
  </si>
  <si>
    <t>Capex</t>
  </si>
  <si>
    <t>Opex</t>
  </si>
  <si>
    <t>% outperformance</t>
  </si>
  <si>
    <t>Churn rates (%)</t>
  </si>
  <si>
    <t>Late payment income</t>
  </si>
  <si>
    <t>Overspending (%)</t>
  </si>
  <si>
    <t>Financial result</t>
  </si>
  <si>
    <t>Income tax</t>
  </si>
  <si>
    <t>Delta</t>
  </si>
  <si>
    <t>Operations</t>
  </si>
  <si>
    <t>Net Income</t>
  </si>
  <si>
    <t>Efficiency &amp; Quality</t>
  </si>
  <si>
    <t>Operational Earnings</t>
  </si>
  <si>
    <t>Financial income not yet cash-effective</t>
  </si>
  <si>
    <t>Operating Cash Flow (before interest &amp; tax)</t>
  </si>
  <si>
    <t>Actual allowed Capex</t>
  </si>
  <si>
    <t>Cash-effective Capex</t>
  </si>
  <si>
    <t>Regulated gross profit</t>
  </si>
  <si>
    <t>Bad debt related income and expense</t>
  </si>
  <si>
    <t>Doubtful provision expense</t>
  </si>
  <si>
    <t>Bonus collection</t>
  </si>
  <si>
    <t>Delta NWC</t>
  </si>
  <si>
    <t xml:space="preserve">Consolidated </t>
  </si>
  <si>
    <t>Underlying Net Income</t>
  </si>
  <si>
    <t>Depreciation &amp; Amortization</t>
  </si>
  <si>
    <t>Payout ratio</t>
  </si>
  <si>
    <t>Interest payments (net)</t>
  </si>
  <si>
    <t>Tax payments</t>
  </si>
  <si>
    <t>Dividend payment</t>
  </si>
  <si>
    <t>Other (FX &amp; accruals)</t>
  </si>
  <si>
    <t>RAB (Opening Balance)</t>
  </si>
  <si>
    <t>RAB (Closing Balance)</t>
  </si>
  <si>
    <t>Revaluation of opening balance</t>
  </si>
  <si>
    <t>Initial allowed Capex (real)</t>
  </si>
  <si>
    <t>Initial allowed Capex (nominal)</t>
  </si>
  <si>
    <t>Corporate</t>
  </si>
  <si>
    <t>Residential &amp; SME</t>
  </si>
  <si>
    <t>Gross profit margin (%)</t>
  </si>
  <si>
    <t>Regulated (%)</t>
  </si>
  <si>
    <t>Network length (km)</t>
  </si>
  <si>
    <t>Network connections (m)</t>
  </si>
  <si>
    <t>Sales volume (TWh)</t>
  </si>
  <si>
    <t>Regulated (TWh)</t>
  </si>
  <si>
    <t>Total Distributed Energy (TWh)</t>
  </si>
  <si>
    <t>n.a.</t>
  </si>
  <si>
    <t>Customer number (m)</t>
  </si>
  <si>
    <t>Dividends (fiscal year perspective)</t>
  </si>
  <si>
    <t>Price equalization effects</t>
  </si>
  <si>
    <t>Deposit valuation expenses</t>
  </si>
  <si>
    <t>Earnings per share (kr)</t>
  </si>
  <si>
    <t>Dividend per share (kr)</t>
  </si>
  <si>
    <t>Net VAT received/paid</t>
  </si>
  <si>
    <t>Unpaid and previous year Capex</t>
  </si>
  <si>
    <t>Net deposit additions</t>
  </si>
  <si>
    <t>Customer solutions gross profit</t>
  </si>
  <si>
    <t>FY</t>
  </si>
  <si>
    <t>Liberalised (TWh)</t>
  </si>
  <si>
    <t>Liberalised (%)</t>
  </si>
  <si>
    <t>T&amp;L Ayedaş</t>
  </si>
  <si>
    <t>T&amp;L Başkent</t>
  </si>
  <si>
    <t>T&amp;L Toroslar</t>
  </si>
  <si>
    <t>Interest income related to revenue cap  regulation</t>
  </si>
  <si>
    <t>Fair value changes of financial assets</t>
  </si>
  <si>
    <t>Adjustment of depreciation and amortization</t>
  </si>
  <si>
    <t>Quality bonus</t>
  </si>
  <si>
    <t>Financial Income</t>
  </si>
  <si>
    <t>VAT paid</t>
  </si>
  <si>
    <t>Liberalised gross profit</t>
  </si>
  <si>
    <t>Other income/expense</t>
  </si>
  <si>
    <t>Power Retail Capex</t>
  </si>
  <si>
    <t>Customer Solutions Capex</t>
  </si>
  <si>
    <t>17-18</t>
  </si>
  <si>
    <t>Revenue</t>
  </si>
  <si>
    <t>Cost of Sales</t>
  </si>
  <si>
    <t>Gross Margin</t>
  </si>
  <si>
    <t xml:space="preserve">Opex </t>
  </si>
  <si>
    <t>Operating profit</t>
  </si>
  <si>
    <t>TradeCo-related pro-forma EBITDA adjustment</t>
  </si>
  <si>
    <t>-</t>
  </si>
  <si>
    <t>Adjustments related to deposit valuation expense</t>
  </si>
  <si>
    <t>Non-recurring income related to prior fiscal years</t>
  </si>
  <si>
    <t>Other (non-cash NWC)</t>
  </si>
  <si>
    <t>WACC (real in %)</t>
  </si>
  <si>
    <t>Target</t>
  </si>
  <si>
    <t>Actual rate</t>
  </si>
  <si>
    <t>Adjustments related to operational fx losses</t>
  </si>
  <si>
    <t>Competition Authority penalty provision</t>
  </si>
  <si>
    <t>9M</t>
  </si>
  <si>
    <t>Impairment on goodwill</t>
  </si>
  <si>
    <t>Net loan interest expense</t>
  </si>
  <si>
    <t>Weighted average loan financing cost (%)</t>
  </si>
  <si>
    <t>Bond interest expense</t>
  </si>
  <si>
    <t>Weighted average bond financing cost (%)</t>
  </si>
  <si>
    <t>Goodwill impairment expense</t>
  </si>
  <si>
    <t>Financial Net Debt (Opening Balance)</t>
  </si>
  <si>
    <t>Financial Net Debt (Closing Balance)</t>
  </si>
  <si>
    <t>Lease interest expenses</t>
  </si>
  <si>
    <t>18-19</t>
  </si>
  <si>
    <t>Financial net debt/Operational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</si>
</sst>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₺_-;\-* #,##0.00\ _₺_-;_-* &quot;-&quot;??\ _₺_-;_-@_-"/>
    <numFmt numFmtId="165" formatCode="0.0%"/>
    <numFmt numFmtId="166" formatCode="#,##0.0"/>
    <numFmt numFmtId="167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62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9" fillId="0" borderId="0"/>
  </cellStyleXfs>
  <cellXfs count="72">
    <xf numFmtId="0" fontId="0" fillId="0" borderId="0" xfId="0"/>
    <xf numFmtId="3" fontId="0" fillId="0" borderId="0" xfId="0" applyNumberFormat="1" applyAlignment="1">
      <alignment horizontal="right" indent="1"/>
    </xf>
    <xf numFmtId="0" fontId="0" fillId="0" borderId="1" xfId="0" applyBorder="1"/>
    <xf numFmtId="3" fontId="0" fillId="0" borderId="0" xfId="0" applyNumberFormat="1"/>
    <xf numFmtId="3" fontId="0" fillId="0" borderId="2" xfId="0" applyNumberFormat="1" applyFill="1" applyBorder="1" applyAlignment="1">
      <alignment horizontal="right" indent="1"/>
    </xf>
    <xf numFmtId="0" fontId="0" fillId="0" borderId="1" xfId="0" applyFill="1" applyBorder="1"/>
    <xf numFmtId="3" fontId="0" fillId="0" borderId="2" xfId="0" applyNumberFormat="1" applyBorder="1" applyAlignment="1">
      <alignment horizontal="right" indent="1"/>
    </xf>
    <xf numFmtId="165" fontId="0" fillId="0" borderId="2" xfId="1" applyNumberFormat="1" applyFont="1" applyBorder="1" applyAlignment="1">
      <alignment horizontal="right" indent="1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Border="1" applyAlignment="1">
      <alignment horizontal="left" indent="2"/>
    </xf>
    <xf numFmtId="0" fontId="0" fillId="0" borderId="1" xfId="0" applyFill="1" applyBorder="1" applyAlignment="1">
      <alignment horizontal="left" indent="1"/>
    </xf>
    <xf numFmtId="0" fontId="0" fillId="0" borderId="0" xfId="0" applyFill="1"/>
    <xf numFmtId="166" fontId="0" fillId="0" borderId="2" xfId="0" applyNumberFormat="1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/>
    <xf numFmtId="3" fontId="4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3" fontId="2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0" fontId="0" fillId="0" borderId="0" xfId="0" applyFill="1" applyBorder="1"/>
    <xf numFmtId="3" fontId="0" fillId="0" borderId="0" xfId="0" applyNumberFormat="1" applyFill="1" applyBorder="1" applyAlignment="1">
      <alignment horizontal="right" indent="1"/>
    </xf>
    <xf numFmtId="0" fontId="0" fillId="0" borderId="1" xfId="0" applyBorder="1" applyAlignment="1">
      <alignment horizontal="left"/>
    </xf>
    <xf numFmtId="166" fontId="4" fillId="0" borderId="2" xfId="0" applyNumberFormat="1" applyFont="1" applyFill="1" applyBorder="1" applyAlignment="1">
      <alignment horizontal="right" indent="1"/>
    </xf>
    <xf numFmtId="166" fontId="0" fillId="0" borderId="0" xfId="0" applyNumberFormat="1" applyFill="1" applyBorder="1" applyAlignment="1">
      <alignment horizontal="right" indent="1"/>
    </xf>
    <xf numFmtId="0" fontId="0" fillId="0" borderId="0" xfId="0" applyFont="1" applyFill="1" applyBorder="1"/>
    <xf numFmtId="166" fontId="0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3" fontId="0" fillId="0" borderId="2" xfId="0" applyNumberFormat="1" applyFill="1" applyBorder="1" applyAlignment="1">
      <alignment horizontal="right"/>
    </xf>
    <xf numFmtId="3" fontId="0" fillId="0" borderId="2" xfId="0" applyNumberFormat="1" applyFont="1" applyFill="1" applyBorder="1" applyAlignment="1"/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/>
    <xf numFmtId="0" fontId="0" fillId="0" borderId="0" xfId="0" applyAlignment="1"/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3" fontId="4" fillId="0" borderId="2" xfId="0" applyNumberFormat="1" applyFont="1" applyFill="1" applyBorder="1" applyAlignment="1"/>
    <xf numFmtId="166" fontId="0" fillId="0" borderId="0" xfId="0" applyNumberFormat="1"/>
    <xf numFmtId="0" fontId="8" fillId="0" borderId="1" xfId="0" applyFont="1" applyFill="1" applyBorder="1"/>
    <xf numFmtId="0" fontId="8" fillId="0" borderId="3" xfId="0" applyFont="1" applyFill="1" applyBorder="1"/>
    <xf numFmtId="0" fontId="3" fillId="2" borderId="1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 applyAlignment="1">
      <alignment horizontal="center"/>
    </xf>
    <xf numFmtId="16" fontId="4" fillId="0" borderId="4" xfId="0" quotePrefix="1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4" fontId="6" fillId="0" borderId="2" xfId="0" applyNumberFormat="1" applyFont="1" applyFill="1" applyBorder="1" applyAlignment="1">
      <alignment horizontal="right" indent="1"/>
    </xf>
    <xf numFmtId="166" fontId="3" fillId="2" borderId="2" xfId="0" applyNumberFormat="1" applyFont="1" applyFill="1" applyBorder="1" applyAlignment="1">
      <alignment horizontal="right" indent="1"/>
    </xf>
    <xf numFmtId="0" fontId="6" fillId="0" borderId="0" xfId="0" applyFont="1" applyFill="1"/>
    <xf numFmtId="16" fontId="8" fillId="0" borderId="4" xfId="0" quotePrefix="1" applyNumberFormat="1" applyFont="1" applyFill="1" applyBorder="1" applyAlignment="1">
      <alignment horizontal="center"/>
    </xf>
    <xf numFmtId="3" fontId="0" fillId="0" borderId="2" xfId="0" quotePrefix="1" applyNumberFormat="1" applyFill="1" applyBorder="1" applyAlignment="1">
      <alignment horizontal="right"/>
    </xf>
    <xf numFmtId="3" fontId="3" fillId="2" borderId="2" xfId="0" applyNumberFormat="1" applyFont="1" applyFill="1" applyBorder="1" applyAlignment="1"/>
    <xf numFmtId="165" fontId="3" fillId="2" borderId="2" xfId="1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 indent="1"/>
    </xf>
    <xf numFmtId="0" fontId="0" fillId="0" borderId="0" xfId="0" applyFill="1" applyAlignment="1">
      <alignment horizontal="right" indent="1"/>
    </xf>
    <xf numFmtId="3" fontId="0" fillId="0" borderId="2" xfId="0" quotePrefix="1" applyNumberFormat="1" applyFill="1" applyBorder="1" applyAlignment="1">
      <alignment horizontal="right" indent="1"/>
    </xf>
    <xf numFmtId="0" fontId="5" fillId="0" borderId="0" xfId="0" applyFont="1" applyFill="1" applyAlignment="1">
      <alignment horizontal="right" indent="1"/>
    </xf>
    <xf numFmtId="167" fontId="0" fillId="0" borderId="0" xfId="0" applyNumberFormat="1"/>
    <xf numFmtId="0" fontId="5" fillId="0" borderId="0" xfId="0" applyFont="1" applyFill="1"/>
    <xf numFmtId="165" fontId="5" fillId="2" borderId="2" xfId="1" applyNumberFormat="1" applyFont="1" applyFill="1" applyBorder="1" applyAlignment="1">
      <alignment horizontal="right" indent="1"/>
    </xf>
    <xf numFmtId="3" fontId="5" fillId="2" borderId="2" xfId="0" applyNumberFormat="1" applyFont="1" applyFill="1" applyBorder="1" applyAlignment="1">
      <alignment horizontal="right" indent="1"/>
    </xf>
    <xf numFmtId="166" fontId="3" fillId="2" borderId="2" xfId="0" quotePrefix="1" applyNumberFormat="1" applyFont="1" applyFill="1" applyBorder="1" applyAlignment="1">
      <alignment horizontal="right" indent="1"/>
    </xf>
    <xf numFmtId="164" fontId="0" fillId="0" borderId="2" xfId="5" applyFont="1" applyFill="1" applyBorder="1" applyAlignment="1">
      <alignment horizontal="right" indent="1"/>
    </xf>
  </cellXfs>
  <cellStyles count="14">
    <cellStyle name="Comma" xfId="5" builtinId="3"/>
    <cellStyle name="Comma 2" xfId="6"/>
    <cellStyle name="Comma 3" xfId="7"/>
    <cellStyle name="Normal" xfId="0" builtinId="0"/>
    <cellStyle name="Normal 10 2 3" xfId="12"/>
    <cellStyle name="Normal 111 2" xfId="8"/>
    <cellStyle name="Normal 14 4" xfId="13"/>
    <cellStyle name="Normal 2" xfId="2"/>
    <cellStyle name="Normal 2 2" xfId="9"/>
    <cellStyle name="Normal 69" xfId="3"/>
    <cellStyle name="Percent" xfId="1" builtinId="5"/>
    <cellStyle name="Percent 17" xfId="4"/>
    <cellStyle name="Percent 2" xfId="10"/>
    <cellStyle name="Percent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71"/>
  <sheetViews>
    <sheetView showGridLines="0" zoomScale="60" zoomScaleNormal="60" workbookViewId="0">
      <selection activeCell="B1" sqref="B1:L60"/>
    </sheetView>
  </sheetViews>
  <sheetFormatPr defaultColWidth="8.90625" defaultRowHeight="14.5" x14ac:dyDescent="0.35"/>
  <cols>
    <col min="1" max="1" width="8.90625" style="37"/>
    <col min="2" max="2" width="54.08984375" style="37" customWidth="1"/>
    <col min="3" max="8" width="10.6328125" style="37" customWidth="1"/>
    <col min="9" max="9" width="2.453125" style="24" customWidth="1"/>
    <col min="10" max="10" width="8.90625" style="37"/>
    <col min="11" max="11" width="9.453125" style="37" bestFit="1" customWidth="1"/>
    <col min="12" max="16384" width="8.90625" style="37"/>
  </cols>
  <sheetData>
    <row r="1" spans="2:16" x14ac:dyDescent="0.35">
      <c r="C1" s="3"/>
      <c r="D1" s="3"/>
      <c r="E1" s="3"/>
      <c r="F1" s="25"/>
      <c r="G1" s="25"/>
      <c r="H1" s="25"/>
    </row>
    <row r="2" spans="2:16" x14ac:dyDescent="0.35">
      <c r="B2" s="18" t="s">
        <v>36</v>
      </c>
      <c r="C2" s="47" t="s">
        <v>69</v>
      </c>
      <c r="D2" s="47" t="s">
        <v>69</v>
      </c>
      <c r="E2" s="47" t="s">
        <v>69</v>
      </c>
      <c r="F2" s="47" t="s">
        <v>69</v>
      </c>
      <c r="G2" s="47" t="s">
        <v>69</v>
      </c>
      <c r="H2" s="47" t="s">
        <v>22</v>
      </c>
      <c r="I2" s="29"/>
      <c r="J2" s="47" t="s">
        <v>101</v>
      </c>
      <c r="K2" s="47" t="s">
        <v>101</v>
      </c>
      <c r="L2" s="47" t="s">
        <v>22</v>
      </c>
    </row>
    <row r="3" spans="2:16" ht="15" thickBot="1" x14ac:dyDescent="0.4">
      <c r="B3" s="48" t="s">
        <v>0</v>
      </c>
      <c r="C3" s="49">
        <v>2014</v>
      </c>
      <c r="D3" s="49">
        <v>2015</v>
      </c>
      <c r="E3" s="49">
        <v>2016</v>
      </c>
      <c r="F3" s="49">
        <v>2017</v>
      </c>
      <c r="G3" s="49">
        <v>2018</v>
      </c>
      <c r="H3" s="50" t="s">
        <v>85</v>
      </c>
      <c r="I3" s="29"/>
      <c r="J3" s="49">
        <v>2018</v>
      </c>
      <c r="K3" s="49">
        <v>2019</v>
      </c>
      <c r="L3" s="50" t="s">
        <v>111</v>
      </c>
    </row>
    <row r="4" spans="2:16" x14ac:dyDescent="0.35">
      <c r="B4" s="8" t="s">
        <v>86</v>
      </c>
      <c r="C4" s="9">
        <v>8064.4210000000003</v>
      </c>
      <c r="D4" s="9">
        <v>9153.6139999999996</v>
      </c>
      <c r="E4" s="9">
        <v>9103.3799999999992</v>
      </c>
      <c r="F4" s="9">
        <v>12345</v>
      </c>
      <c r="G4" s="9">
        <v>18347</v>
      </c>
      <c r="H4" s="9">
        <f>G4-F4</f>
        <v>6002</v>
      </c>
      <c r="J4" s="9">
        <v>12472</v>
      </c>
      <c r="K4" s="9">
        <v>14566</v>
      </c>
      <c r="L4" s="9">
        <f t="shared" ref="L4:L10" si="0">K4-J4</f>
        <v>2094</v>
      </c>
      <c r="N4" s="3"/>
      <c r="O4" s="3"/>
      <c r="P4" s="3"/>
    </row>
    <row r="5" spans="2:16" x14ac:dyDescent="0.35">
      <c r="B5" s="8" t="s">
        <v>87</v>
      </c>
      <c r="C5" s="9">
        <v>-6753.5110000000004</v>
      </c>
      <c r="D5" s="9">
        <v>-7108.12</v>
      </c>
      <c r="E5" s="9">
        <v>-6500.9560000000001</v>
      </c>
      <c r="F5" s="9">
        <v>-8412</v>
      </c>
      <c r="G5" s="9">
        <v>-12380</v>
      </c>
      <c r="H5" s="9">
        <f t="shared" ref="H5:H60" si="1">G5-F5</f>
        <v>-3968</v>
      </c>
      <c r="J5" s="9">
        <v>-8976</v>
      </c>
      <c r="K5" s="9">
        <v>-10349</v>
      </c>
      <c r="L5" s="9">
        <f t="shared" si="0"/>
        <v>-1373</v>
      </c>
      <c r="N5" s="3"/>
      <c r="O5" s="3"/>
      <c r="P5" s="3"/>
    </row>
    <row r="6" spans="2:16" x14ac:dyDescent="0.35">
      <c r="B6" s="44" t="s">
        <v>88</v>
      </c>
      <c r="C6" s="51">
        <f t="shared" ref="C6:E6" si="2">SUM(C4:C5)</f>
        <v>1310.9099999999999</v>
      </c>
      <c r="D6" s="51">
        <f t="shared" si="2"/>
        <v>2045.4939999999997</v>
      </c>
      <c r="E6" s="51">
        <f t="shared" si="2"/>
        <v>2602.4239999999991</v>
      </c>
      <c r="F6" s="51">
        <v>3932</v>
      </c>
      <c r="G6" s="51">
        <f>SUM(G4:G5)</f>
        <v>5967</v>
      </c>
      <c r="H6" s="51">
        <f t="shared" si="1"/>
        <v>2035</v>
      </c>
      <c r="I6" s="52"/>
      <c r="J6" s="51">
        <f t="shared" ref="J6:K6" si="3">SUM(J4:J5)</f>
        <v>3496</v>
      </c>
      <c r="K6" s="51">
        <f t="shared" si="3"/>
        <v>4217</v>
      </c>
      <c r="L6" s="51">
        <f t="shared" si="0"/>
        <v>721</v>
      </c>
      <c r="N6" s="3"/>
      <c r="O6" s="3"/>
      <c r="P6" s="3"/>
    </row>
    <row r="7" spans="2:16" x14ac:dyDescent="0.35">
      <c r="B7" s="8" t="s">
        <v>89</v>
      </c>
      <c r="C7" s="9">
        <v>-967.3</v>
      </c>
      <c r="D7" s="9">
        <v>-1079.79</v>
      </c>
      <c r="E7" s="9">
        <v>-1228</v>
      </c>
      <c r="F7" s="9">
        <v>-1519</v>
      </c>
      <c r="G7" s="9">
        <v>-1849</v>
      </c>
      <c r="H7" s="9">
        <f t="shared" si="1"/>
        <v>-330</v>
      </c>
      <c r="J7" s="9">
        <v>-1287</v>
      </c>
      <c r="K7" s="9">
        <v>-1511</v>
      </c>
      <c r="L7" s="9">
        <f t="shared" si="0"/>
        <v>-224</v>
      </c>
      <c r="N7" s="3"/>
      <c r="O7" s="3"/>
      <c r="P7" s="3"/>
    </row>
    <row r="8" spans="2:16" x14ac:dyDescent="0.35">
      <c r="B8" s="8" t="s">
        <v>82</v>
      </c>
      <c r="C8" s="9">
        <v>-36</v>
      </c>
      <c r="D8" s="9">
        <v>72.599999999999994</v>
      </c>
      <c r="E8" s="9">
        <v>-102</v>
      </c>
      <c r="F8" s="9">
        <v>-173</v>
      </c>
      <c r="G8" s="9">
        <v>-1307</v>
      </c>
      <c r="H8" s="9">
        <f t="shared" si="1"/>
        <v>-1134</v>
      </c>
      <c r="J8" s="9">
        <v>-184</v>
      </c>
      <c r="K8" s="9">
        <v>-344</v>
      </c>
      <c r="L8" s="9">
        <f t="shared" si="0"/>
        <v>-160</v>
      </c>
      <c r="N8" s="3"/>
      <c r="O8" s="3"/>
      <c r="P8" s="3"/>
    </row>
    <row r="9" spans="2:16" x14ac:dyDescent="0.35">
      <c r="B9" s="44" t="s">
        <v>90</v>
      </c>
      <c r="C9" s="51">
        <f>SUM(C6:C8)</f>
        <v>307.6099999999999</v>
      </c>
      <c r="D9" s="51">
        <f t="shared" ref="D9:E9" si="4">SUM(D6:D8)</f>
        <v>1038.3039999999996</v>
      </c>
      <c r="E9" s="51">
        <f t="shared" si="4"/>
        <v>1272.4239999999991</v>
      </c>
      <c r="F9" s="51">
        <v>2241</v>
      </c>
      <c r="G9" s="51">
        <f>SUM(G6:G8)</f>
        <v>2811</v>
      </c>
      <c r="H9" s="51">
        <f t="shared" si="1"/>
        <v>570</v>
      </c>
      <c r="I9" s="52"/>
      <c r="J9" s="51">
        <f t="shared" ref="J9:K9" si="5">SUM(J6:J8)</f>
        <v>2025</v>
      </c>
      <c r="K9" s="51">
        <f t="shared" si="5"/>
        <v>2362</v>
      </c>
      <c r="L9" s="51">
        <f t="shared" si="0"/>
        <v>337</v>
      </c>
      <c r="N9" s="3"/>
      <c r="O9" s="3"/>
      <c r="P9" s="3"/>
    </row>
    <row r="10" spans="2:16" x14ac:dyDescent="0.35">
      <c r="B10" s="8" t="s">
        <v>77</v>
      </c>
      <c r="C10" s="9">
        <v>208.66300000000001</v>
      </c>
      <c r="D10" s="9">
        <v>219.4</v>
      </c>
      <c r="E10" s="9">
        <v>218</v>
      </c>
      <c r="F10" s="9">
        <v>235</v>
      </c>
      <c r="G10" s="9">
        <v>258</v>
      </c>
      <c r="H10" s="9">
        <f t="shared" si="1"/>
        <v>23</v>
      </c>
      <c r="J10" s="9">
        <v>186</v>
      </c>
      <c r="K10" s="9">
        <v>268</v>
      </c>
      <c r="L10" s="9">
        <f t="shared" si="0"/>
        <v>82</v>
      </c>
      <c r="N10" s="3"/>
      <c r="O10" s="3"/>
      <c r="P10" s="3"/>
    </row>
    <row r="11" spans="2:16" x14ac:dyDescent="0.35">
      <c r="B11" s="8" t="s">
        <v>102</v>
      </c>
      <c r="C11" s="53" t="s">
        <v>92</v>
      </c>
      <c r="D11" s="53" t="s">
        <v>92</v>
      </c>
      <c r="E11" s="53" t="s">
        <v>92</v>
      </c>
      <c r="F11" s="53" t="s">
        <v>92</v>
      </c>
      <c r="G11" s="9">
        <v>753</v>
      </c>
      <c r="H11" s="9">
        <f>G11</f>
        <v>753</v>
      </c>
      <c r="J11" s="53" t="s">
        <v>92</v>
      </c>
      <c r="K11" s="53" t="s">
        <v>92</v>
      </c>
      <c r="L11" s="9" t="str">
        <f>K11</f>
        <v>-</v>
      </c>
      <c r="N11" s="3"/>
      <c r="O11" s="3"/>
      <c r="P11" s="3"/>
    </row>
    <row r="12" spans="2:16" x14ac:dyDescent="0.35">
      <c r="B12" s="8" t="s">
        <v>91</v>
      </c>
      <c r="C12" s="9">
        <v>16</v>
      </c>
      <c r="D12" s="9">
        <v>-60</v>
      </c>
      <c r="E12" s="9">
        <v>-16</v>
      </c>
      <c r="F12" s="53" t="s">
        <v>92</v>
      </c>
      <c r="G12" s="53" t="s">
        <v>92</v>
      </c>
      <c r="H12" s="53" t="s">
        <v>92</v>
      </c>
      <c r="J12" s="53" t="s">
        <v>92</v>
      </c>
      <c r="K12" s="53" t="s">
        <v>92</v>
      </c>
      <c r="L12" s="53" t="s">
        <v>92</v>
      </c>
      <c r="N12" s="3"/>
      <c r="O12" s="3"/>
      <c r="P12" s="3"/>
    </row>
    <row r="13" spans="2:16" x14ac:dyDescent="0.35">
      <c r="B13" s="8" t="s">
        <v>99</v>
      </c>
      <c r="C13" s="53" t="s">
        <v>92</v>
      </c>
      <c r="D13" s="53" t="s">
        <v>92</v>
      </c>
      <c r="E13" s="53" t="s">
        <v>92</v>
      </c>
      <c r="F13" s="53" t="s">
        <v>92</v>
      </c>
      <c r="G13" s="53">
        <v>44</v>
      </c>
      <c r="H13" s="53">
        <f>G13</f>
        <v>44</v>
      </c>
      <c r="J13" s="9">
        <v>45</v>
      </c>
      <c r="K13" s="9">
        <v>3</v>
      </c>
      <c r="L13" s="53">
        <f>K13</f>
        <v>3</v>
      </c>
      <c r="N13" s="3"/>
      <c r="O13" s="3"/>
      <c r="P13" s="3"/>
    </row>
    <row r="14" spans="2:16" x14ac:dyDescent="0.35">
      <c r="B14" s="8" t="s">
        <v>93</v>
      </c>
      <c r="C14" s="9">
        <v>43</v>
      </c>
      <c r="D14" s="9">
        <v>36</v>
      </c>
      <c r="E14" s="9">
        <v>40</v>
      </c>
      <c r="F14" s="9">
        <v>79</v>
      </c>
      <c r="G14" s="53">
        <v>243</v>
      </c>
      <c r="H14" s="9">
        <f t="shared" si="1"/>
        <v>164</v>
      </c>
      <c r="J14" s="9">
        <v>112</v>
      </c>
      <c r="K14" s="9">
        <v>60</v>
      </c>
      <c r="L14" s="9">
        <f t="shared" ref="L14:L22" si="6">K14-J14</f>
        <v>-52</v>
      </c>
      <c r="N14" s="3"/>
      <c r="O14" s="3"/>
      <c r="P14" s="3"/>
    </row>
    <row r="15" spans="2:16" x14ac:dyDescent="0.35">
      <c r="B15" s="8" t="s">
        <v>75</v>
      </c>
      <c r="C15" s="9">
        <v>-5</v>
      </c>
      <c r="D15" s="9">
        <v>-2</v>
      </c>
      <c r="E15" s="9">
        <v>-19</v>
      </c>
      <c r="F15" s="9">
        <v>0</v>
      </c>
      <c r="G15" s="53">
        <v>-44</v>
      </c>
      <c r="H15" s="9">
        <f t="shared" si="1"/>
        <v>-44</v>
      </c>
      <c r="J15" s="9">
        <v>-23</v>
      </c>
      <c r="K15" s="9">
        <v>-8</v>
      </c>
      <c r="L15" s="9">
        <f t="shared" si="6"/>
        <v>15</v>
      </c>
      <c r="N15" s="3"/>
      <c r="O15" s="3"/>
      <c r="P15" s="3"/>
    </row>
    <row r="16" spans="2:16" x14ac:dyDescent="0.35">
      <c r="B16" s="44" t="s">
        <v>2</v>
      </c>
      <c r="C16" s="51">
        <v>569</v>
      </c>
      <c r="D16" s="51">
        <f>SUM(D9:D15)</f>
        <v>1231.7039999999997</v>
      </c>
      <c r="E16" s="51">
        <f>SUM(E9:E15)</f>
        <v>1495.4239999999991</v>
      </c>
      <c r="F16" s="51">
        <f t="shared" ref="F16:G16" si="7">SUM(F9:F15)</f>
        <v>2555</v>
      </c>
      <c r="G16" s="51">
        <f t="shared" si="7"/>
        <v>4065</v>
      </c>
      <c r="H16" s="51">
        <f t="shared" si="1"/>
        <v>1510</v>
      </c>
      <c r="I16" s="52"/>
      <c r="J16" s="51">
        <f>SUM(J9:J15)</f>
        <v>2345</v>
      </c>
      <c r="K16" s="51">
        <f>SUM(K9:K15)-0.6</f>
        <v>2684.4</v>
      </c>
      <c r="L16" s="51">
        <f t="shared" si="6"/>
        <v>339.40000000000009</v>
      </c>
      <c r="N16" s="3"/>
      <c r="O16" s="3"/>
      <c r="P16" s="3"/>
    </row>
    <row r="17" spans="2:16" x14ac:dyDescent="0.35">
      <c r="B17" s="2" t="s">
        <v>13</v>
      </c>
      <c r="C17" s="4">
        <v>210</v>
      </c>
      <c r="D17" s="4">
        <v>200</v>
      </c>
      <c r="E17" s="4">
        <v>443</v>
      </c>
      <c r="F17" s="4">
        <v>592</v>
      </c>
      <c r="G17" s="9">
        <v>798</v>
      </c>
      <c r="H17" s="4">
        <f t="shared" si="1"/>
        <v>206</v>
      </c>
      <c r="J17" s="9">
        <v>599</v>
      </c>
      <c r="K17" s="9">
        <v>793</v>
      </c>
      <c r="L17" s="4">
        <f t="shared" si="6"/>
        <v>194</v>
      </c>
      <c r="N17" s="3"/>
      <c r="O17" s="3"/>
      <c r="P17" s="3"/>
    </row>
    <row r="18" spans="2:16" x14ac:dyDescent="0.35">
      <c r="B18" s="44" t="s">
        <v>3</v>
      </c>
      <c r="C18" s="51">
        <f>SUM(C16:C17)</f>
        <v>779</v>
      </c>
      <c r="D18" s="51">
        <f t="shared" ref="D18:F18" si="8">SUM(D16:D17)</f>
        <v>1431.7039999999997</v>
      </c>
      <c r="E18" s="51">
        <f t="shared" si="8"/>
        <v>1938.4239999999991</v>
      </c>
      <c r="F18" s="51">
        <f t="shared" si="8"/>
        <v>3147</v>
      </c>
      <c r="G18" s="51">
        <f>SUM(G16:G17)+1</f>
        <v>4864</v>
      </c>
      <c r="H18" s="51">
        <f t="shared" si="1"/>
        <v>1717</v>
      </c>
      <c r="I18" s="52"/>
      <c r="J18" s="51">
        <f t="shared" ref="J18:K18" si="9">SUM(J16:J17)</f>
        <v>2944</v>
      </c>
      <c r="K18" s="51">
        <f t="shared" si="9"/>
        <v>3477.4</v>
      </c>
      <c r="L18" s="51">
        <f t="shared" si="6"/>
        <v>533.40000000000009</v>
      </c>
      <c r="N18" s="3"/>
      <c r="O18" s="3"/>
      <c r="P18" s="3"/>
    </row>
    <row r="19" spans="2:16" x14ac:dyDescent="0.35">
      <c r="B19" s="2" t="s">
        <v>76</v>
      </c>
      <c r="C19" s="53" t="s">
        <v>92</v>
      </c>
      <c r="D19" s="4">
        <v>-332</v>
      </c>
      <c r="E19" s="53" t="s">
        <v>92</v>
      </c>
      <c r="F19" s="4">
        <v>-467</v>
      </c>
      <c r="G19" s="9">
        <v>-984</v>
      </c>
      <c r="H19" s="4">
        <f t="shared" si="1"/>
        <v>-517</v>
      </c>
      <c r="J19" s="9">
        <v>-242</v>
      </c>
      <c r="K19" s="9">
        <v>10</v>
      </c>
      <c r="L19" s="4">
        <f>K19-J19</f>
        <v>252</v>
      </c>
      <c r="N19" s="3"/>
      <c r="O19" s="3"/>
      <c r="P19" s="3"/>
    </row>
    <row r="20" spans="2:16" x14ac:dyDescent="0.35">
      <c r="B20" s="2" t="s">
        <v>100</v>
      </c>
      <c r="C20" s="53" t="s">
        <v>92</v>
      </c>
      <c r="D20" s="53" t="s">
        <v>92</v>
      </c>
      <c r="E20" s="53" t="s">
        <v>92</v>
      </c>
      <c r="F20" s="4">
        <v>0</v>
      </c>
      <c r="G20" s="9">
        <v>107</v>
      </c>
      <c r="H20" s="4">
        <f t="shared" si="1"/>
        <v>107</v>
      </c>
      <c r="J20" s="9">
        <v>107</v>
      </c>
      <c r="K20" s="53" t="s">
        <v>92</v>
      </c>
      <c r="L20" s="4">
        <f>-J20</f>
        <v>-107</v>
      </c>
      <c r="N20" s="3"/>
      <c r="O20" s="3"/>
      <c r="P20" s="3"/>
    </row>
    <row r="21" spans="2:16" x14ac:dyDescent="0.35">
      <c r="B21" s="2" t="s">
        <v>94</v>
      </c>
      <c r="C21" s="53" t="s">
        <v>92</v>
      </c>
      <c r="D21" s="53" t="s">
        <v>92</v>
      </c>
      <c r="E21" s="53" t="s">
        <v>92</v>
      </c>
      <c r="F21" s="4">
        <v>-115</v>
      </c>
      <c r="G21" s="9">
        <v>-142</v>
      </c>
      <c r="H21" s="4">
        <f t="shared" si="1"/>
        <v>-27</v>
      </c>
      <c r="J21" s="9">
        <v>-74</v>
      </c>
      <c r="K21" s="53" t="s">
        <v>92</v>
      </c>
      <c r="L21" s="4">
        <f>-J21</f>
        <v>74</v>
      </c>
      <c r="N21" s="3"/>
      <c r="O21" s="3"/>
      <c r="P21" s="3"/>
    </row>
    <row r="22" spans="2:16" x14ac:dyDescent="0.35">
      <c r="B22" s="44" t="s">
        <v>26</v>
      </c>
      <c r="C22" s="51">
        <f>SUM(C18:C21)</f>
        <v>779</v>
      </c>
      <c r="D22" s="51">
        <f t="shared" ref="D22:G22" si="10">SUM(D18:D21)</f>
        <v>1099.7039999999997</v>
      </c>
      <c r="E22" s="51">
        <f t="shared" si="10"/>
        <v>1938.4239999999991</v>
      </c>
      <c r="F22" s="51">
        <f t="shared" si="10"/>
        <v>2565</v>
      </c>
      <c r="G22" s="51">
        <f t="shared" si="10"/>
        <v>3845</v>
      </c>
      <c r="H22" s="51">
        <f t="shared" si="1"/>
        <v>1280</v>
      </c>
      <c r="I22" s="52"/>
      <c r="J22" s="51">
        <f t="shared" ref="J22:K22" si="11">SUM(J18:J21)</f>
        <v>2735</v>
      </c>
      <c r="K22" s="51">
        <f t="shared" si="11"/>
        <v>3487.4</v>
      </c>
      <c r="L22" s="51">
        <f t="shared" si="6"/>
        <v>752.40000000000009</v>
      </c>
      <c r="M22" s="3"/>
      <c r="N22" s="3"/>
      <c r="O22" s="3"/>
      <c r="P22" s="3"/>
    </row>
    <row r="23" spans="2:16" x14ac:dyDescent="0.35">
      <c r="B23" s="18"/>
      <c r="C23" s="19"/>
      <c r="D23" s="19"/>
      <c r="E23" s="19"/>
      <c r="F23" s="19"/>
      <c r="G23" s="19"/>
      <c r="H23" s="19"/>
      <c r="J23" s="19"/>
      <c r="K23" s="19"/>
      <c r="L23" s="19"/>
      <c r="N23" s="3"/>
      <c r="O23" s="3"/>
      <c r="P23" s="3"/>
    </row>
    <row r="24" spans="2:16" x14ac:dyDescent="0.35">
      <c r="B24" s="44" t="s">
        <v>2</v>
      </c>
      <c r="C24" s="51">
        <f>C16</f>
        <v>569</v>
      </c>
      <c r="D24" s="51">
        <f t="shared" ref="D24:G24" si="12">D16</f>
        <v>1231.7039999999997</v>
      </c>
      <c r="E24" s="51">
        <f t="shared" si="12"/>
        <v>1495.4239999999991</v>
      </c>
      <c r="F24" s="51">
        <f t="shared" si="12"/>
        <v>2555</v>
      </c>
      <c r="G24" s="51">
        <f t="shared" si="12"/>
        <v>4065</v>
      </c>
      <c r="H24" s="51">
        <f t="shared" si="1"/>
        <v>1510</v>
      </c>
      <c r="I24" s="52"/>
      <c r="J24" s="51">
        <f t="shared" ref="J24:K24" si="13">J16</f>
        <v>2345</v>
      </c>
      <c r="K24" s="51">
        <f t="shared" si="13"/>
        <v>2684.4</v>
      </c>
      <c r="L24" s="51">
        <f>K24-J24</f>
        <v>339.40000000000009</v>
      </c>
      <c r="N24" s="3"/>
      <c r="O24" s="3"/>
      <c r="P24" s="3"/>
    </row>
    <row r="25" spans="2:16" x14ac:dyDescent="0.35">
      <c r="B25" s="8" t="s">
        <v>38</v>
      </c>
      <c r="C25" s="9">
        <f>-C10</f>
        <v>-208.66300000000001</v>
      </c>
      <c r="D25" s="9">
        <f>-D10</f>
        <v>-219.4</v>
      </c>
      <c r="E25" s="9">
        <f>-E10</f>
        <v>-218</v>
      </c>
      <c r="F25" s="9">
        <f>-F10</f>
        <v>-235</v>
      </c>
      <c r="G25" s="9">
        <f>-G10</f>
        <v>-258</v>
      </c>
      <c r="H25" s="9">
        <f t="shared" si="1"/>
        <v>-23</v>
      </c>
      <c r="J25" s="9">
        <f>-J10</f>
        <v>-186</v>
      </c>
      <c r="K25" s="9">
        <f>-K10</f>
        <v>-268</v>
      </c>
      <c r="L25" s="9">
        <f>K25-J25</f>
        <v>-82</v>
      </c>
      <c r="N25" s="3"/>
      <c r="O25" s="3"/>
      <c r="P25" s="3"/>
    </row>
    <row r="26" spans="2:16" x14ac:dyDescent="0.35">
      <c r="B26" s="8" t="s">
        <v>102</v>
      </c>
      <c r="C26" s="53" t="s">
        <v>92</v>
      </c>
      <c r="D26" s="53" t="s">
        <v>92</v>
      </c>
      <c r="E26" s="53" t="s">
        <v>92</v>
      </c>
      <c r="F26" s="53" t="s">
        <v>92</v>
      </c>
      <c r="G26" s="9">
        <f>-G11</f>
        <v>-753</v>
      </c>
      <c r="H26" s="53">
        <f>G26</f>
        <v>-753</v>
      </c>
      <c r="J26" s="53" t="s">
        <v>92</v>
      </c>
      <c r="K26" s="53" t="s">
        <v>92</v>
      </c>
      <c r="L26" s="53" t="str">
        <f>K26</f>
        <v>-</v>
      </c>
      <c r="N26" s="3"/>
      <c r="O26" s="3"/>
      <c r="P26" s="3"/>
    </row>
    <row r="27" spans="2:16" x14ac:dyDescent="0.35">
      <c r="B27" s="8" t="s">
        <v>91</v>
      </c>
      <c r="C27" s="9">
        <f>-C12</f>
        <v>-16</v>
      </c>
      <c r="D27" s="9">
        <f>-D12</f>
        <v>60</v>
      </c>
      <c r="E27" s="9">
        <f>-E12</f>
        <v>16</v>
      </c>
      <c r="F27" s="53" t="s">
        <v>92</v>
      </c>
      <c r="G27" s="53" t="s">
        <v>92</v>
      </c>
      <c r="H27" s="53" t="s">
        <v>92</v>
      </c>
      <c r="J27" s="53" t="s">
        <v>92</v>
      </c>
      <c r="K27" s="53" t="s">
        <v>92</v>
      </c>
      <c r="L27" s="53" t="str">
        <f>K27</f>
        <v>-</v>
      </c>
      <c r="N27" s="3"/>
      <c r="O27" s="3"/>
      <c r="P27" s="3"/>
    </row>
    <row r="28" spans="2:16" x14ac:dyDescent="0.35">
      <c r="B28" s="8" t="s">
        <v>20</v>
      </c>
      <c r="C28" s="9">
        <f t="shared" ref="C28:H28" si="14">C29+C31+C33+C35</f>
        <v>-608.46</v>
      </c>
      <c r="D28" s="9">
        <f t="shared" si="14"/>
        <v>-609.69000000000005</v>
      </c>
      <c r="E28" s="9">
        <f t="shared" si="14"/>
        <v>-779.56</v>
      </c>
      <c r="F28" s="9">
        <f t="shared" si="14"/>
        <v>-1036</v>
      </c>
      <c r="G28" s="9">
        <f t="shared" si="14"/>
        <v>-1732</v>
      </c>
      <c r="H28" s="9">
        <f t="shared" si="14"/>
        <v>-696</v>
      </c>
      <c r="J28" s="9">
        <f>J29+J31+J33+J35</f>
        <v>-1070</v>
      </c>
      <c r="K28" s="9">
        <f>K29+K31+K33+K35+K34</f>
        <v>-1309</v>
      </c>
      <c r="L28" s="9">
        <f t="shared" ref="L28:L43" si="15">K28-J28</f>
        <v>-239</v>
      </c>
      <c r="N28" s="3"/>
      <c r="O28" s="3"/>
      <c r="P28" s="3"/>
    </row>
    <row r="29" spans="2:16" x14ac:dyDescent="0.35">
      <c r="B29" s="20" t="s">
        <v>103</v>
      </c>
      <c r="C29" s="9">
        <v>-517.46</v>
      </c>
      <c r="D29" s="9">
        <v>-526.69000000000005</v>
      </c>
      <c r="E29" s="9">
        <v>-725.56</v>
      </c>
      <c r="F29" s="9">
        <v>-863</v>
      </c>
      <c r="G29" s="9">
        <v>-1159</v>
      </c>
      <c r="H29" s="9">
        <f>G29-F29</f>
        <v>-296</v>
      </c>
      <c r="J29" s="9">
        <v>-813</v>
      </c>
      <c r="K29" s="9">
        <v>-1049</v>
      </c>
      <c r="L29" s="9">
        <f t="shared" si="15"/>
        <v>-236</v>
      </c>
      <c r="N29" s="3"/>
      <c r="O29" s="3"/>
      <c r="P29" s="3"/>
    </row>
    <row r="30" spans="2:16" x14ac:dyDescent="0.35">
      <c r="B30" s="20" t="s">
        <v>104</v>
      </c>
      <c r="C30" s="9"/>
      <c r="D30" s="12">
        <v>9.7315847766867136E-2</v>
      </c>
      <c r="E30" s="12">
        <v>0.12236587152326026</v>
      </c>
      <c r="F30" s="12">
        <v>0.128</v>
      </c>
      <c r="G30" s="12">
        <v>0.17078241062162658</v>
      </c>
      <c r="H30" s="12">
        <f>G30-F30</f>
        <v>4.2782410621626576E-2</v>
      </c>
      <c r="J30" s="12">
        <v>0.16008557392122685</v>
      </c>
      <c r="K30" s="12">
        <v>0.1851999355863973</v>
      </c>
      <c r="L30" s="12">
        <f t="shared" si="15"/>
        <v>2.5114361665170448E-2</v>
      </c>
      <c r="N30" s="3"/>
      <c r="O30" s="3"/>
      <c r="P30" s="3"/>
    </row>
    <row r="31" spans="2:16" x14ac:dyDescent="0.35">
      <c r="B31" s="20" t="s">
        <v>105</v>
      </c>
      <c r="C31" s="9">
        <v>-39</v>
      </c>
      <c r="D31" s="9">
        <v>-37</v>
      </c>
      <c r="E31" s="9">
        <v>-24</v>
      </c>
      <c r="F31" s="9">
        <v>-138</v>
      </c>
      <c r="G31" s="9">
        <v>-435</v>
      </c>
      <c r="H31" s="9">
        <f>G31-F31</f>
        <v>-297</v>
      </c>
      <c r="J31" s="9">
        <v>-211</v>
      </c>
      <c r="K31" s="9">
        <v>-140</v>
      </c>
      <c r="L31" s="9">
        <f t="shared" si="15"/>
        <v>71</v>
      </c>
      <c r="N31" s="3"/>
      <c r="O31" s="3"/>
      <c r="P31" s="3"/>
    </row>
    <row r="32" spans="2:16" x14ac:dyDescent="0.35">
      <c r="B32" s="20" t="s">
        <v>106</v>
      </c>
      <c r="C32" s="9"/>
      <c r="D32" s="12">
        <v>0.10271374038139168</v>
      </c>
      <c r="E32" s="12">
        <v>6.7310452411078053E-2</v>
      </c>
      <c r="F32" s="12">
        <v>0.15222580413129241</v>
      </c>
      <c r="G32" s="12">
        <v>0.28209196038237444</v>
      </c>
      <c r="H32" s="9">
        <f>G32-F32</f>
        <v>0.12986615625108203</v>
      </c>
      <c r="J32" s="12">
        <v>0.19200702888889265</v>
      </c>
      <c r="K32" s="12">
        <v>0.10945245367412901</v>
      </c>
      <c r="L32" s="9">
        <f t="shared" si="15"/>
        <v>-8.2554575214763642E-2</v>
      </c>
      <c r="N32" s="3"/>
      <c r="O32" s="3"/>
      <c r="P32" s="3"/>
    </row>
    <row r="33" spans="2:16" x14ac:dyDescent="0.35">
      <c r="B33" s="20" t="s">
        <v>62</v>
      </c>
      <c r="C33" s="9">
        <f>-C14</f>
        <v>-43</v>
      </c>
      <c r="D33" s="9">
        <f>-D14</f>
        <v>-36</v>
      </c>
      <c r="E33" s="9">
        <f>-E14</f>
        <v>-40</v>
      </c>
      <c r="F33" s="9">
        <v>-79</v>
      </c>
      <c r="G33" s="9">
        <v>-243</v>
      </c>
      <c r="H33" s="9">
        <f t="shared" si="1"/>
        <v>-164</v>
      </c>
      <c r="J33" s="9">
        <v>-112</v>
      </c>
      <c r="K33" s="9">
        <v>-60</v>
      </c>
      <c r="L33" s="9">
        <f t="shared" si="15"/>
        <v>52</v>
      </c>
      <c r="N33" s="3"/>
      <c r="O33" s="3"/>
      <c r="P33" s="3"/>
    </row>
    <row r="34" spans="2:16" x14ac:dyDescent="0.35">
      <c r="B34" s="20" t="s">
        <v>110</v>
      </c>
      <c r="C34" s="53" t="s">
        <v>92</v>
      </c>
      <c r="D34" s="53" t="s">
        <v>92</v>
      </c>
      <c r="E34" s="53" t="s">
        <v>92</v>
      </c>
      <c r="F34" s="53" t="s">
        <v>92</v>
      </c>
      <c r="G34" s="53" t="s">
        <v>92</v>
      </c>
      <c r="H34" s="9" t="str">
        <f>G34</f>
        <v>-</v>
      </c>
      <c r="J34" s="9">
        <v>0</v>
      </c>
      <c r="K34" s="9">
        <v>-39</v>
      </c>
      <c r="L34" s="9">
        <f>K34</f>
        <v>-39</v>
      </c>
      <c r="N34" s="3"/>
      <c r="O34" s="3"/>
      <c r="P34" s="3"/>
    </row>
    <row r="35" spans="2:16" x14ac:dyDescent="0.35">
      <c r="B35" s="20" t="s">
        <v>12</v>
      </c>
      <c r="C35" s="9">
        <v>-9</v>
      </c>
      <c r="D35" s="9">
        <v>-10</v>
      </c>
      <c r="E35" s="9">
        <v>10</v>
      </c>
      <c r="F35" s="9">
        <v>44</v>
      </c>
      <c r="G35" s="9">
        <v>105</v>
      </c>
      <c r="H35" s="9">
        <f t="shared" ref="H35" si="16">G35-F35</f>
        <v>61</v>
      </c>
      <c r="J35" s="9">
        <v>66</v>
      </c>
      <c r="K35" s="9">
        <v>-21</v>
      </c>
      <c r="L35" s="9">
        <f t="shared" si="15"/>
        <v>-87</v>
      </c>
      <c r="N35" s="3"/>
      <c r="O35" s="3"/>
      <c r="P35" s="3"/>
    </row>
    <row r="36" spans="2:16" x14ac:dyDescent="0.35">
      <c r="B36" s="8" t="s">
        <v>21</v>
      </c>
      <c r="C36" s="9">
        <v>-13</v>
      </c>
      <c r="D36" s="9">
        <v>-127</v>
      </c>
      <c r="E36" s="9">
        <v>-137</v>
      </c>
      <c r="F36" s="9">
        <v>-296</v>
      </c>
      <c r="G36" s="9">
        <v>-574</v>
      </c>
      <c r="H36" s="9">
        <f t="shared" si="1"/>
        <v>-278</v>
      </c>
      <c r="J36" s="9">
        <v>-325</v>
      </c>
      <c r="K36" s="9">
        <v>-317</v>
      </c>
      <c r="L36" s="9">
        <f t="shared" si="15"/>
        <v>8</v>
      </c>
      <c r="N36" s="3"/>
      <c r="O36" s="3"/>
      <c r="P36" s="3"/>
    </row>
    <row r="37" spans="2:16" x14ac:dyDescent="0.35">
      <c r="B37" s="44" t="s">
        <v>24</v>
      </c>
      <c r="C37" s="51">
        <f>SUM(C24:C28,C36)</f>
        <v>-277.12300000000005</v>
      </c>
      <c r="D37" s="51">
        <f>SUM(D24:D28,D36)</f>
        <v>335.61399999999958</v>
      </c>
      <c r="E37" s="51">
        <f>SUM(E24:E28,E36)</f>
        <v>376.86399999999912</v>
      </c>
      <c r="F37" s="51">
        <f>SUM(F24:F28,F36)</f>
        <v>988</v>
      </c>
      <c r="G37" s="51">
        <f>SUM(G24:G28,G36)</f>
        <v>748</v>
      </c>
      <c r="H37" s="51">
        <f t="shared" si="1"/>
        <v>-240</v>
      </c>
      <c r="I37" s="52"/>
      <c r="J37" s="51">
        <f>SUM(J24:J28,J36)</f>
        <v>764</v>
      </c>
      <c r="K37" s="51">
        <f t="shared" ref="K37" si="17">SUM(K24:K28,K36)</f>
        <v>790.40000000000009</v>
      </c>
      <c r="L37" s="51">
        <f t="shared" si="15"/>
        <v>26.400000000000091</v>
      </c>
      <c r="N37" s="3"/>
      <c r="O37" s="3"/>
      <c r="P37" s="3"/>
    </row>
    <row r="38" spans="2:16" x14ac:dyDescent="0.35">
      <c r="B38" s="2" t="s">
        <v>76</v>
      </c>
      <c r="C38" s="53" t="s">
        <v>92</v>
      </c>
      <c r="D38" s="4">
        <f>-266</f>
        <v>-266</v>
      </c>
      <c r="E38" s="53" t="s">
        <v>92</v>
      </c>
      <c r="F38" s="4">
        <f>F19*0.8</f>
        <v>-373.6</v>
      </c>
      <c r="G38" s="4">
        <f>ROUND(G19*0.78,0)</f>
        <v>-768</v>
      </c>
      <c r="H38" s="4">
        <f t="shared" si="1"/>
        <v>-394.4</v>
      </c>
      <c r="J38" s="9">
        <v>-189</v>
      </c>
      <c r="K38" s="9">
        <v>8</v>
      </c>
      <c r="L38" s="4">
        <f t="shared" si="15"/>
        <v>197</v>
      </c>
      <c r="N38" s="3"/>
      <c r="O38" s="3"/>
      <c r="P38" s="3"/>
    </row>
    <row r="39" spans="2:16" x14ac:dyDescent="0.35">
      <c r="B39" s="2" t="s">
        <v>100</v>
      </c>
      <c r="C39" s="53" t="s">
        <v>92</v>
      </c>
      <c r="D39" s="53" t="s">
        <v>92</v>
      </c>
      <c r="E39" s="53" t="s">
        <v>92</v>
      </c>
      <c r="F39" s="53" t="s">
        <v>92</v>
      </c>
      <c r="G39" s="4">
        <f>G20</f>
        <v>107</v>
      </c>
      <c r="H39" s="4">
        <f>G39</f>
        <v>107</v>
      </c>
      <c r="J39" s="9">
        <f>J20</f>
        <v>107</v>
      </c>
      <c r="K39" s="53" t="s">
        <v>92</v>
      </c>
      <c r="L39" s="4">
        <f>-J39</f>
        <v>-107</v>
      </c>
      <c r="N39" s="3"/>
      <c r="O39" s="3"/>
      <c r="P39" s="3"/>
    </row>
    <row r="40" spans="2:16" x14ac:dyDescent="0.35">
      <c r="B40" s="2" t="s">
        <v>107</v>
      </c>
      <c r="C40" s="53" t="s">
        <v>92</v>
      </c>
      <c r="D40" s="53" t="s">
        <v>92</v>
      </c>
      <c r="E40" s="53" t="s">
        <v>92</v>
      </c>
      <c r="F40" s="53" t="s">
        <v>92</v>
      </c>
      <c r="G40" s="4">
        <f>-G26</f>
        <v>753</v>
      </c>
      <c r="H40" s="4">
        <f>G40</f>
        <v>753</v>
      </c>
      <c r="J40" s="53" t="s">
        <v>92</v>
      </c>
      <c r="K40" s="53" t="s">
        <v>92</v>
      </c>
      <c r="L40" s="53" t="s">
        <v>92</v>
      </c>
      <c r="N40" s="3"/>
      <c r="O40" s="3"/>
      <c r="P40" s="3"/>
    </row>
    <row r="41" spans="2:16" x14ac:dyDescent="0.35">
      <c r="B41" s="2" t="s">
        <v>94</v>
      </c>
      <c r="C41" s="53" t="s">
        <v>92</v>
      </c>
      <c r="D41" s="53" t="s">
        <v>92</v>
      </c>
      <c r="E41" s="53" t="s">
        <v>92</v>
      </c>
      <c r="F41" s="4">
        <f>F21*0.8</f>
        <v>-92</v>
      </c>
      <c r="G41" s="4">
        <f>ROUND(G21*0.78,0)+1</f>
        <v>-110</v>
      </c>
      <c r="H41" s="4">
        <f t="shared" si="1"/>
        <v>-18</v>
      </c>
      <c r="J41" s="4">
        <f>J21*0.78</f>
        <v>-57.72</v>
      </c>
      <c r="K41" s="53" t="s">
        <v>92</v>
      </c>
      <c r="L41" s="4">
        <f>-J41</f>
        <v>57.72</v>
      </c>
      <c r="N41" s="3"/>
      <c r="O41" s="3"/>
      <c r="P41" s="3"/>
    </row>
    <row r="42" spans="2:16" x14ac:dyDescent="0.35">
      <c r="B42" s="44" t="s">
        <v>37</v>
      </c>
      <c r="C42" s="51">
        <f>SUM(C37:C41)</f>
        <v>-277.12300000000005</v>
      </c>
      <c r="D42" s="51">
        <f>SUM(D37:D41)</f>
        <v>69.613999999999578</v>
      </c>
      <c r="E42" s="51">
        <f>SUM(E37:E41)</f>
        <v>376.86399999999912</v>
      </c>
      <c r="F42" s="51">
        <f>SUM(F37:F41)</f>
        <v>522.4</v>
      </c>
      <c r="G42" s="51">
        <f>SUM(G37:G41)</f>
        <v>730</v>
      </c>
      <c r="H42" s="51">
        <f t="shared" si="1"/>
        <v>207.60000000000002</v>
      </c>
      <c r="I42" s="52"/>
      <c r="J42" s="51">
        <f t="shared" ref="J42:K42" si="18">SUM(J37:J41)</f>
        <v>624.28</v>
      </c>
      <c r="K42" s="51">
        <f t="shared" si="18"/>
        <v>798.40000000000009</v>
      </c>
      <c r="L42" s="51">
        <f t="shared" si="15"/>
        <v>174.12000000000012</v>
      </c>
      <c r="N42" s="3"/>
      <c r="O42" s="3"/>
      <c r="P42" s="3"/>
    </row>
    <row r="43" spans="2:16" x14ac:dyDescent="0.35">
      <c r="B43" s="8" t="s">
        <v>63</v>
      </c>
      <c r="C43" s="54">
        <f t="shared" ref="C43:F43" si="19">C42*1000000/118106896712*100</f>
        <v>-0.23463744092417899</v>
      </c>
      <c r="D43" s="54">
        <f t="shared" si="19"/>
        <v>5.894151987563534E-2</v>
      </c>
      <c r="E43" s="54">
        <f t="shared" si="19"/>
        <v>0.31908720869956497</v>
      </c>
      <c r="F43" s="54">
        <f t="shared" si="19"/>
        <v>0.442311172796163</v>
      </c>
      <c r="G43" s="31">
        <f>G42*1000000/118106896712*100</f>
        <v>0.61808414268989076</v>
      </c>
      <c r="H43" s="54">
        <f t="shared" si="1"/>
        <v>0.17577296989372776</v>
      </c>
      <c r="J43" s="31">
        <v>0.52837810492020365</v>
      </c>
      <c r="K43" s="31">
        <v>0.67577762179855716</v>
      </c>
      <c r="L43" s="54">
        <f t="shared" si="15"/>
        <v>0.14739951687835351</v>
      </c>
      <c r="N43" s="3"/>
      <c r="O43" s="3"/>
      <c r="P43" s="3"/>
    </row>
    <row r="44" spans="2:16" x14ac:dyDescent="0.35">
      <c r="B44" s="8" t="s">
        <v>39</v>
      </c>
      <c r="C44" s="10" t="s">
        <v>92</v>
      </c>
      <c r="D44" s="10" t="s">
        <v>92</v>
      </c>
      <c r="E44" s="10" t="s">
        <v>92</v>
      </c>
      <c r="F44" s="10">
        <v>0.68</v>
      </c>
      <c r="G44" s="10">
        <v>0.64740941731074941</v>
      </c>
      <c r="H44" s="10">
        <f t="shared" si="1"/>
        <v>-3.2590582689250636E-2</v>
      </c>
      <c r="J44" s="10" t="s">
        <v>92</v>
      </c>
      <c r="K44" s="10" t="s">
        <v>92</v>
      </c>
      <c r="L44" s="10" t="s">
        <v>92</v>
      </c>
      <c r="N44" s="3"/>
      <c r="O44" s="3"/>
      <c r="P44" s="3"/>
    </row>
    <row r="45" spans="2:16" x14ac:dyDescent="0.35">
      <c r="B45" s="8" t="s">
        <v>60</v>
      </c>
      <c r="C45" s="10" t="s">
        <v>92</v>
      </c>
      <c r="D45" s="10" t="s">
        <v>92</v>
      </c>
      <c r="E45" s="10" t="s">
        <v>92</v>
      </c>
      <c r="F45" s="9">
        <f>F42*F44-1</f>
        <v>354.23200000000003</v>
      </c>
      <c r="G45" s="9">
        <f>G42*G44-1</f>
        <v>471.60887463684708</v>
      </c>
      <c r="H45" s="9">
        <f t="shared" si="1"/>
        <v>117.37687463684705</v>
      </c>
      <c r="J45" s="10" t="s">
        <v>92</v>
      </c>
      <c r="K45" s="10" t="s">
        <v>92</v>
      </c>
      <c r="L45" s="10" t="s">
        <v>92</v>
      </c>
      <c r="N45" s="3"/>
      <c r="O45" s="3"/>
      <c r="P45" s="3"/>
    </row>
    <row r="46" spans="2:16" x14ac:dyDescent="0.35">
      <c r="B46" s="8" t="s">
        <v>64</v>
      </c>
      <c r="C46" s="10" t="s">
        <v>92</v>
      </c>
      <c r="D46" s="10" t="s">
        <v>92</v>
      </c>
      <c r="E46" s="10" t="s">
        <v>92</v>
      </c>
      <c r="F46" s="31">
        <f>F45*1000000/118106896712*100</f>
        <v>0.29992490689496631</v>
      </c>
      <c r="G46" s="31">
        <f>G45*1000000/118106896712*100</f>
        <v>0.39930680406145175</v>
      </c>
      <c r="H46" s="31">
        <f t="shared" si="1"/>
        <v>9.9381897166485433E-2</v>
      </c>
      <c r="J46" s="10" t="s">
        <v>92</v>
      </c>
      <c r="K46" s="10" t="s">
        <v>92</v>
      </c>
      <c r="L46" s="10" t="s">
        <v>92</v>
      </c>
      <c r="N46" s="3"/>
      <c r="O46" s="3"/>
      <c r="P46" s="3"/>
    </row>
    <row r="47" spans="2:16" x14ac:dyDescent="0.35">
      <c r="B47" s="8"/>
      <c r="C47" s="30"/>
      <c r="D47" s="30"/>
      <c r="E47" s="30"/>
      <c r="F47" s="31"/>
      <c r="G47" s="31"/>
      <c r="H47" s="31"/>
      <c r="J47" s="31"/>
      <c r="K47" s="31"/>
      <c r="L47" s="31"/>
      <c r="N47" s="3"/>
      <c r="O47" s="3"/>
      <c r="P47" s="3"/>
    </row>
    <row r="48" spans="2:16" x14ac:dyDescent="0.35">
      <c r="B48" s="44" t="s">
        <v>28</v>
      </c>
      <c r="C48" s="51">
        <v>146</v>
      </c>
      <c r="D48" s="51">
        <v>1095</v>
      </c>
      <c r="E48" s="51">
        <v>2004</v>
      </c>
      <c r="F48" s="51">
        <v>1923</v>
      </c>
      <c r="G48" s="51">
        <v>2122</v>
      </c>
      <c r="H48" s="51">
        <f t="shared" si="1"/>
        <v>199</v>
      </c>
      <c r="I48" s="52"/>
      <c r="J48" s="51">
        <v>1005</v>
      </c>
      <c r="K48" s="51">
        <v>2414</v>
      </c>
      <c r="L48" s="51">
        <f t="shared" ref="L48:L53" si="20">K48-J48</f>
        <v>1409</v>
      </c>
      <c r="N48" s="3"/>
      <c r="O48" s="3"/>
      <c r="P48" s="3"/>
    </row>
    <row r="49" spans="2:16" x14ac:dyDescent="0.35">
      <c r="B49" s="8" t="s">
        <v>14</v>
      </c>
      <c r="C49" s="9">
        <v>-525</v>
      </c>
      <c r="D49" s="9">
        <v>-1093</v>
      </c>
      <c r="E49" s="9">
        <v>-1560</v>
      </c>
      <c r="F49" s="9">
        <v>-1747</v>
      </c>
      <c r="G49" s="9">
        <v>-1602</v>
      </c>
      <c r="H49" s="21">
        <f t="shared" si="1"/>
        <v>145</v>
      </c>
      <c r="J49" s="9">
        <v>-1391</v>
      </c>
      <c r="K49" s="9">
        <v>-1323</v>
      </c>
      <c r="L49" s="21">
        <f t="shared" si="20"/>
        <v>68</v>
      </c>
      <c r="N49" s="3"/>
      <c r="O49" s="3"/>
      <c r="P49" s="3"/>
    </row>
    <row r="50" spans="2:16" x14ac:dyDescent="0.35">
      <c r="B50" s="44" t="s">
        <v>4</v>
      </c>
      <c r="C50" s="51">
        <f>SUM(C48:C49)</f>
        <v>-379</v>
      </c>
      <c r="D50" s="51">
        <f>SUM(D48:D49)</f>
        <v>2</v>
      </c>
      <c r="E50" s="51">
        <f>SUM(E48:E49)</f>
        <v>444</v>
      </c>
      <c r="F50" s="51">
        <f>SUM(F48:F49)</f>
        <v>176</v>
      </c>
      <c r="G50" s="51">
        <f>SUM(G48:G49)</f>
        <v>520</v>
      </c>
      <c r="H50" s="51">
        <f t="shared" si="1"/>
        <v>344</v>
      </c>
      <c r="I50" s="52"/>
      <c r="J50" s="51">
        <f t="shared" ref="J50:K50" si="21">SUM(J48:J49)</f>
        <v>-386</v>
      </c>
      <c r="K50" s="51">
        <f t="shared" si="21"/>
        <v>1091</v>
      </c>
      <c r="L50" s="51">
        <f t="shared" si="20"/>
        <v>1477</v>
      </c>
      <c r="N50" s="3"/>
      <c r="O50" s="3"/>
      <c r="P50" s="3"/>
    </row>
    <row r="51" spans="2:16" x14ac:dyDescent="0.35">
      <c r="B51" s="8" t="s">
        <v>40</v>
      </c>
      <c r="C51" s="9">
        <v>-596</v>
      </c>
      <c r="D51" s="9">
        <v>-374.26</v>
      </c>
      <c r="E51" s="9">
        <v>-602</v>
      </c>
      <c r="F51" s="9">
        <v>-886</v>
      </c>
      <c r="G51" s="9">
        <v>-1047</v>
      </c>
      <c r="H51" s="21">
        <f t="shared" si="1"/>
        <v>-161</v>
      </c>
      <c r="J51" s="9">
        <v>-740</v>
      </c>
      <c r="K51" s="9">
        <v>-1385</v>
      </c>
      <c r="L51" s="21">
        <f t="shared" si="20"/>
        <v>-645</v>
      </c>
      <c r="N51" s="3"/>
      <c r="O51" s="3"/>
      <c r="P51" s="3"/>
    </row>
    <row r="52" spans="2:16" x14ac:dyDescent="0.35">
      <c r="B52" s="8" t="s">
        <v>41</v>
      </c>
      <c r="C52" s="21">
        <v>-48</v>
      </c>
      <c r="D52" s="21">
        <v>-73</v>
      </c>
      <c r="E52" s="21">
        <v>-145</v>
      </c>
      <c r="F52" s="21">
        <v>-65</v>
      </c>
      <c r="G52" s="9">
        <v>-34.607999999999997</v>
      </c>
      <c r="H52" s="21">
        <f t="shared" si="1"/>
        <v>30.392000000000003</v>
      </c>
      <c r="J52" s="9">
        <v>-15</v>
      </c>
      <c r="K52" s="9">
        <v>-309</v>
      </c>
      <c r="L52" s="21">
        <f t="shared" si="20"/>
        <v>-294</v>
      </c>
      <c r="N52" s="3"/>
      <c r="O52" s="3"/>
      <c r="P52" s="3"/>
    </row>
    <row r="53" spans="2:16" x14ac:dyDescent="0.35">
      <c r="B53" s="44" t="s">
        <v>6</v>
      </c>
      <c r="C53" s="51">
        <f>SUM(C50:C52)</f>
        <v>-1023</v>
      </c>
      <c r="D53" s="51">
        <f>SUM(D50:D52)</f>
        <v>-445.26</v>
      </c>
      <c r="E53" s="51">
        <f>SUM(E50:E52)</f>
        <v>-303</v>
      </c>
      <c r="F53" s="51">
        <f>SUM(F50:F52)</f>
        <v>-775</v>
      </c>
      <c r="G53" s="51">
        <f t="shared" ref="G53" si="22">SUM(G50:G52)</f>
        <v>-561.60799999999995</v>
      </c>
      <c r="H53" s="51">
        <f t="shared" si="1"/>
        <v>213.39200000000005</v>
      </c>
      <c r="I53" s="52"/>
      <c r="J53" s="51">
        <f t="shared" ref="J53:K53" si="23">SUM(J50:J52)</f>
        <v>-1141</v>
      </c>
      <c r="K53" s="51">
        <f t="shared" si="23"/>
        <v>-603</v>
      </c>
      <c r="L53" s="51">
        <f t="shared" si="20"/>
        <v>538</v>
      </c>
      <c r="N53" s="3"/>
      <c r="O53" s="3"/>
      <c r="P53" s="3"/>
    </row>
    <row r="54" spans="2:16" x14ac:dyDescent="0.35">
      <c r="B54" s="2"/>
      <c r="C54" s="22"/>
      <c r="D54" s="1"/>
      <c r="E54" s="1"/>
      <c r="F54" s="1"/>
      <c r="G54" s="1"/>
      <c r="H54" s="1"/>
      <c r="J54" s="1"/>
      <c r="K54" s="1"/>
      <c r="L54" s="1"/>
      <c r="N54" s="3"/>
      <c r="O54" s="3"/>
      <c r="P54" s="3"/>
    </row>
    <row r="55" spans="2:16" x14ac:dyDescent="0.35">
      <c r="B55" s="2" t="s">
        <v>108</v>
      </c>
      <c r="C55" s="53" t="s">
        <v>92</v>
      </c>
      <c r="D55" s="1">
        <f>C59</f>
        <v>5461</v>
      </c>
      <c r="E55" s="1">
        <f>D59</f>
        <v>6083</v>
      </c>
      <c r="F55" s="6">
        <v>6490</v>
      </c>
      <c r="G55" s="6">
        <v>7303</v>
      </c>
      <c r="H55" s="6">
        <f t="shared" si="1"/>
        <v>813</v>
      </c>
      <c r="J55" s="6">
        <f>F59</f>
        <v>7303</v>
      </c>
      <c r="K55" s="6">
        <f>G59</f>
        <v>8702</v>
      </c>
      <c r="L55" s="6">
        <f>K55-J55</f>
        <v>1399</v>
      </c>
      <c r="N55" s="3"/>
      <c r="O55" s="3"/>
      <c r="P55" s="3"/>
    </row>
    <row r="56" spans="2:16" x14ac:dyDescent="0.35">
      <c r="B56" s="11" t="s">
        <v>6</v>
      </c>
      <c r="C56" s="53" t="s">
        <v>92</v>
      </c>
      <c r="D56" s="6">
        <f>-D53</f>
        <v>445.26</v>
      </c>
      <c r="E56" s="6">
        <f>-E53</f>
        <v>303</v>
      </c>
      <c r="F56" s="6">
        <v>775</v>
      </c>
      <c r="G56" s="6">
        <v>561.60799999999995</v>
      </c>
      <c r="H56" s="6">
        <f t="shared" si="1"/>
        <v>-213.39200000000005</v>
      </c>
      <c r="J56" s="6">
        <v>1141</v>
      </c>
      <c r="K56" s="6">
        <v>603</v>
      </c>
      <c r="L56" s="6">
        <f>K56-J56</f>
        <v>-538</v>
      </c>
      <c r="N56" s="3"/>
      <c r="O56" s="3"/>
      <c r="P56" s="3"/>
    </row>
    <row r="57" spans="2:16" x14ac:dyDescent="0.35">
      <c r="B57" s="11" t="s">
        <v>42</v>
      </c>
      <c r="C57" s="53" t="s">
        <v>92</v>
      </c>
      <c r="D57" s="53" t="s">
        <v>92</v>
      </c>
      <c r="E57" s="53" t="s">
        <v>92</v>
      </c>
      <c r="F57" s="53" t="s">
        <v>92</v>
      </c>
      <c r="G57" s="6">
        <v>354</v>
      </c>
      <c r="H57" s="6">
        <f>G57</f>
        <v>354</v>
      </c>
      <c r="J57" s="6">
        <v>354</v>
      </c>
      <c r="K57" s="6">
        <v>472</v>
      </c>
      <c r="L57" s="6">
        <f>K57-J57</f>
        <v>118</v>
      </c>
      <c r="N57" s="3"/>
      <c r="O57" s="3"/>
      <c r="P57" s="3"/>
    </row>
    <row r="58" spans="2:16" x14ac:dyDescent="0.35">
      <c r="B58" s="11" t="s">
        <v>43</v>
      </c>
      <c r="C58" s="53" t="s">
        <v>92</v>
      </c>
      <c r="D58" s="6">
        <f>D59-D55-D56</f>
        <v>176.74</v>
      </c>
      <c r="E58" s="6">
        <f>E59-E55-E56</f>
        <v>107</v>
      </c>
      <c r="F58" s="6">
        <f>F59-F55-F56</f>
        <v>38</v>
      </c>
      <c r="G58" s="6">
        <v>483.39199999999983</v>
      </c>
      <c r="H58" s="6">
        <f t="shared" si="1"/>
        <v>445.39199999999983</v>
      </c>
      <c r="J58" s="6">
        <v>138</v>
      </c>
      <c r="K58" s="6">
        <v>-60</v>
      </c>
      <c r="L58" s="6">
        <f>K58-J58</f>
        <v>-198</v>
      </c>
      <c r="N58" s="3"/>
      <c r="O58" s="3"/>
      <c r="P58" s="3"/>
    </row>
    <row r="59" spans="2:16" x14ac:dyDescent="0.35">
      <c r="B59" s="2" t="s">
        <v>109</v>
      </c>
      <c r="C59" s="6">
        <v>5461</v>
      </c>
      <c r="D59" s="6">
        <v>6083</v>
      </c>
      <c r="E59" s="6">
        <v>6493</v>
      </c>
      <c r="F59" s="6">
        <v>7303</v>
      </c>
      <c r="G59" s="6">
        <v>8702</v>
      </c>
      <c r="H59" s="6">
        <f t="shared" si="1"/>
        <v>1399</v>
      </c>
      <c r="J59" s="6">
        <v>8936</v>
      </c>
      <c r="K59" s="6">
        <v>9717</v>
      </c>
      <c r="L59" s="6">
        <f>K59-J59</f>
        <v>781</v>
      </c>
      <c r="N59" s="3"/>
      <c r="O59" s="3"/>
      <c r="P59" s="3"/>
    </row>
    <row r="60" spans="2:16" x14ac:dyDescent="0.35">
      <c r="B60" s="44" t="s">
        <v>112</v>
      </c>
      <c r="C60" s="55">
        <f>ROUND(C59/C22,1)</f>
        <v>7</v>
      </c>
      <c r="D60" s="55">
        <f>ROUND(D59/D22,1)</f>
        <v>5.5</v>
      </c>
      <c r="E60" s="55">
        <v>3.4</v>
      </c>
      <c r="F60" s="55">
        <f>ROUND(F59/F22,1)</f>
        <v>2.8</v>
      </c>
      <c r="G60" s="55">
        <f>ROUND(G59/G22,1)</f>
        <v>2.2999999999999998</v>
      </c>
      <c r="H60" s="55">
        <f t="shared" si="1"/>
        <v>-0.5</v>
      </c>
      <c r="I60" s="52"/>
      <c r="J60" s="70" t="s">
        <v>92</v>
      </c>
      <c r="K60" s="70" t="s">
        <v>92</v>
      </c>
      <c r="L60" s="70" t="s">
        <v>92</v>
      </c>
      <c r="N60" s="3"/>
      <c r="O60" s="3"/>
      <c r="P60" s="3"/>
    </row>
    <row r="61" spans="2:16" x14ac:dyDescent="0.35">
      <c r="B61" s="18"/>
      <c r="C61" s="27"/>
      <c r="D61" s="27"/>
      <c r="E61" s="27"/>
      <c r="F61" s="27"/>
      <c r="G61" s="27"/>
      <c r="H61" s="27"/>
      <c r="J61" s="38"/>
    </row>
    <row r="62" spans="2:16" x14ac:dyDescent="0.35">
      <c r="C62" s="3"/>
      <c r="E62" s="3"/>
      <c r="F62" s="3"/>
      <c r="G62" s="3"/>
      <c r="H62" s="3"/>
      <c r="J62" s="38"/>
    </row>
    <row r="63" spans="2:16" x14ac:dyDescent="0.35">
      <c r="C63" s="3"/>
      <c r="E63" s="3"/>
      <c r="F63" s="3"/>
      <c r="G63" s="3"/>
      <c r="H63" s="3"/>
      <c r="J63" s="38"/>
    </row>
    <row r="64" spans="2:16" x14ac:dyDescent="0.35">
      <c r="C64" s="3"/>
      <c r="E64" s="41"/>
      <c r="F64" s="41"/>
      <c r="G64" s="3"/>
      <c r="H64" s="3"/>
      <c r="J64" s="38"/>
    </row>
    <row r="65" spans="7:10" x14ac:dyDescent="0.35">
      <c r="G65" s="3"/>
      <c r="J65" s="38"/>
    </row>
    <row r="66" spans="7:10" x14ac:dyDescent="0.35">
      <c r="J66" s="38"/>
    </row>
    <row r="67" spans="7:10" x14ac:dyDescent="0.35">
      <c r="J67" s="38"/>
    </row>
    <row r="68" spans="7:10" x14ac:dyDescent="0.35">
      <c r="J68" s="38"/>
    </row>
    <row r="69" spans="7:10" x14ac:dyDescent="0.35">
      <c r="J69" s="38"/>
    </row>
    <row r="70" spans="7:10" x14ac:dyDescent="0.35">
      <c r="J70" s="38"/>
    </row>
    <row r="71" spans="7:10" x14ac:dyDescent="0.35">
      <c r="J71" s="38"/>
    </row>
  </sheetData>
  <pageMargins left="0.7" right="0.7" top="0.75" bottom="0.75" header="0.3" footer="0.3"/>
  <pageSetup paperSize="9" scale="4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36"/>
  <sheetViews>
    <sheetView showGridLines="0" zoomScale="80" zoomScaleNormal="80" workbookViewId="0">
      <selection activeCell="B2" sqref="B2:L36"/>
    </sheetView>
  </sheetViews>
  <sheetFormatPr defaultColWidth="8.90625" defaultRowHeight="14.5" x14ac:dyDescent="0.35"/>
  <cols>
    <col min="1" max="1" width="8.90625" style="37"/>
    <col min="2" max="2" width="54.08984375" style="37" customWidth="1"/>
    <col min="3" max="8" width="10.6328125" style="37" customWidth="1"/>
    <col min="9" max="9" width="1.6328125" style="37" customWidth="1"/>
    <col min="10" max="12" width="10.6328125" style="37" customWidth="1"/>
    <col min="13" max="16384" width="8.90625" style="37"/>
  </cols>
  <sheetData>
    <row r="1" spans="2:13" x14ac:dyDescent="0.35">
      <c r="C1" s="3"/>
      <c r="D1" s="3"/>
      <c r="E1" s="3"/>
      <c r="F1" s="25"/>
      <c r="G1" s="25"/>
      <c r="H1" s="25"/>
      <c r="J1" s="25"/>
      <c r="K1" s="25"/>
      <c r="L1" s="25"/>
    </row>
    <row r="2" spans="2:13" x14ac:dyDescent="0.35">
      <c r="B2" s="42" t="s">
        <v>5</v>
      </c>
      <c r="C2" s="45" t="s">
        <v>69</v>
      </c>
      <c r="D2" s="45" t="s">
        <v>69</v>
      </c>
      <c r="E2" s="45" t="s">
        <v>69</v>
      </c>
      <c r="F2" s="45" t="s">
        <v>69</v>
      </c>
      <c r="G2" s="45" t="s">
        <v>69</v>
      </c>
      <c r="H2" s="45" t="s">
        <v>22</v>
      </c>
      <c r="I2" s="56"/>
      <c r="J2" s="47" t="s">
        <v>101</v>
      </c>
      <c r="K2" s="47" t="s">
        <v>101</v>
      </c>
      <c r="L2" s="47" t="s">
        <v>22</v>
      </c>
    </row>
    <row r="3" spans="2:13" ht="15" thickBot="1" x14ac:dyDescent="0.4">
      <c r="B3" s="43" t="s">
        <v>0</v>
      </c>
      <c r="C3" s="46">
        <v>2014</v>
      </c>
      <c r="D3" s="46">
        <v>2015</v>
      </c>
      <c r="E3" s="46">
        <v>2016</v>
      </c>
      <c r="F3" s="46">
        <v>2017</v>
      </c>
      <c r="G3" s="46">
        <v>2018</v>
      </c>
      <c r="H3" s="57" t="s">
        <v>85</v>
      </c>
      <c r="I3" s="56"/>
      <c r="J3" s="49">
        <v>2018</v>
      </c>
      <c r="K3" s="49">
        <v>2019</v>
      </c>
      <c r="L3" s="50" t="s">
        <v>111</v>
      </c>
    </row>
    <row r="4" spans="2:13" x14ac:dyDescent="0.35">
      <c r="B4" s="2" t="s">
        <v>31</v>
      </c>
      <c r="C4" s="32">
        <v>299.22800000000018</v>
      </c>
      <c r="D4" s="32">
        <v>311.61800000000056</v>
      </c>
      <c r="E4" s="32">
        <v>312.18900000000048</v>
      </c>
      <c r="F4" s="32">
        <v>334.85956230004615</v>
      </c>
      <c r="G4" s="32">
        <v>621</v>
      </c>
      <c r="H4" s="32">
        <f>G4-F4</f>
        <v>286.14043769995385</v>
      </c>
      <c r="I4" s="39"/>
      <c r="J4" s="32">
        <v>466</v>
      </c>
      <c r="K4" s="32">
        <v>574.667432160781</v>
      </c>
      <c r="L4" s="32">
        <f>K4-J4</f>
        <v>108.667432160781</v>
      </c>
      <c r="M4" s="4"/>
    </row>
    <row r="5" spans="2:13" x14ac:dyDescent="0.35">
      <c r="B5" s="2" t="s">
        <v>81</v>
      </c>
      <c r="C5" s="32">
        <v>22.606147221013639</v>
      </c>
      <c r="D5" s="32">
        <v>72.397000000000673</v>
      </c>
      <c r="E5" s="32">
        <v>144.58423525436825</v>
      </c>
      <c r="F5" s="32">
        <f>75.9569999999999-2</f>
        <v>73.956999999999894</v>
      </c>
      <c r="G5" s="32">
        <v>46</v>
      </c>
      <c r="H5" s="32">
        <f t="shared" ref="H5:H20" si="0">G5-F5</f>
        <v>-27.956999999999894</v>
      </c>
      <c r="I5" s="39"/>
      <c r="J5" s="32">
        <v>34</v>
      </c>
      <c r="K5" s="32">
        <v>36.595881595433845</v>
      </c>
      <c r="L5" s="32">
        <f t="shared" ref="L5" si="1">K5-J5</f>
        <v>2.5958815954338448</v>
      </c>
      <c r="M5" s="4"/>
    </row>
    <row r="6" spans="2:13" x14ac:dyDescent="0.35">
      <c r="B6" s="2" t="s">
        <v>68</v>
      </c>
      <c r="C6" s="58" t="s">
        <v>92</v>
      </c>
      <c r="D6" s="58" t="s">
        <v>92</v>
      </c>
      <c r="E6" s="58" t="s">
        <v>92</v>
      </c>
      <c r="F6" s="58" t="s">
        <v>92</v>
      </c>
      <c r="G6" s="32">
        <v>11</v>
      </c>
      <c r="H6" s="58">
        <f>G6</f>
        <v>11</v>
      </c>
      <c r="I6" s="39"/>
      <c r="J6" s="32">
        <v>9</v>
      </c>
      <c r="K6" s="32">
        <v>13.864796425355818</v>
      </c>
      <c r="L6" s="58">
        <f>K6</f>
        <v>13.864796425355818</v>
      </c>
      <c r="M6" s="4"/>
    </row>
    <row r="7" spans="2:13" x14ac:dyDescent="0.35">
      <c r="B7" s="2" t="s">
        <v>15</v>
      </c>
      <c r="C7" s="32">
        <v>-173.78114722101355</v>
      </c>
      <c r="D7" s="32">
        <v>-223.7378191757397</v>
      </c>
      <c r="E7" s="32">
        <v>-230.84508382045973</v>
      </c>
      <c r="F7" s="32">
        <v>-246.28291100266162</v>
      </c>
      <c r="G7" s="32">
        <v>-323</v>
      </c>
      <c r="H7" s="32">
        <f t="shared" si="0"/>
        <v>-76.717088997338379</v>
      </c>
      <c r="I7" s="39"/>
      <c r="J7" s="32">
        <v>-189</v>
      </c>
      <c r="K7" s="32">
        <v>-222.4880985936143</v>
      </c>
      <c r="L7" s="32">
        <f t="shared" ref="L7" si="2">K7-J7</f>
        <v>-33.488098593614296</v>
      </c>
      <c r="M7" s="4"/>
    </row>
    <row r="8" spans="2:13" x14ac:dyDescent="0.35">
      <c r="B8" s="2" t="s">
        <v>32</v>
      </c>
      <c r="C8" s="32">
        <f t="shared" ref="C8:D8" si="3">SUM(C9:C12)</f>
        <v>-2.8030000000000133</v>
      </c>
      <c r="D8" s="32">
        <f t="shared" si="3"/>
        <v>119.44387599999999</v>
      </c>
      <c r="E8" s="32">
        <f>SUM(E9:E12)</f>
        <v>63.993000000000002</v>
      </c>
      <c r="F8" s="32">
        <f>SUM(F9:F12)</f>
        <v>84.246451050158001</v>
      </c>
      <c r="G8" s="32">
        <f>SUM(G9:G12)</f>
        <v>35</v>
      </c>
      <c r="H8" s="32">
        <f t="shared" si="0"/>
        <v>-49.246451050158001</v>
      </c>
      <c r="I8" s="39"/>
      <c r="J8" s="32">
        <f>SUM(J9:J12)</f>
        <v>47</v>
      </c>
      <c r="K8" s="32">
        <f>SUM(K9:K12)</f>
        <v>54.635035685871081</v>
      </c>
      <c r="L8" s="32">
        <f t="shared" ref="L8:L18" si="4">K8-J8</f>
        <v>7.6350356858710811</v>
      </c>
      <c r="M8" s="4"/>
    </row>
    <row r="9" spans="2:13" x14ac:dyDescent="0.35">
      <c r="B9" s="11" t="s">
        <v>33</v>
      </c>
      <c r="C9" s="32">
        <v>-165.72300000000001</v>
      </c>
      <c r="D9" s="32">
        <v>-131.27500000000001</v>
      </c>
      <c r="E9" s="32">
        <v>-86.338178999999997</v>
      </c>
      <c r="F9" s="32">
        <v>-75.184078999999997</v>
      </c>
      <c r="G9" s="32">
        <v>-84</v>
      </c>
      <c r="H9" s="32">
        <f t="shared" si="0"/>
        <v>-8.815921000000003</v>
      </c>
      <c r="I9" s="39"/>
      <c r="J9" s="32">
        <v>-37</v>
      </c>
      <c r="K9" s="32">
        <v>-59.22080782915512</v>
      </c>
      <c r="L9" s="32">
        <f t="shared" si="4"/>
        <v>-22.22080782915512</v>
      </c>
      <c r="M9" s="4"/>
    </row>
    <row r="10" spans="2:13" x14ac:dyDescent="0.35">
      <c r="B10" s="11" t="s">
        <v>18</v>
      </c>
      <c r="C10" s="32">
        <v>79.484999999999999</v>
      </c>
      <c r="D10" s="32">
        <v>86.367000000000004</v>
      </c>
      <c r="E10" s="32">
        <v>66.784000000000006</v>
      </c>
      <c r="F10" s="32">
        <v>70.993078999999994</v>
      </c>
      <c r="G10" s="32">
        <v>84</v>
      </c>
      <c r="H10" s="32">
        <f t="shared" si="0"/>
        <v>13.006921000000006</v>
      </c>
      <c r="I10" s="39"/>
      <c r="J10" s="32">
        <v>54</v>
      </c>
      <c r="K10" s="32">
        <v>102.68918564535872</v>
      </c>
      <c r="L10" s="32">
        <f t="shared" si="4"/>
        <v>48.68918564535872</v>
      </c>
      <c r="M10" s="4"/>
    </row>
    <row r="11" spans="2:13" x14ac:dyDescent="0.35">
      <c r="B11" s="11" t="s">
        <v>34</v>
      </c>
      <c r="C11" s="32">
        <v>98</v>
      </c>
      <c r="D11" s="32">
        <v>156</v>
      </c>
      <c r="E11" s="32">
        <v>90</v>
      </c>
      <c r="F11" s="32">
        <v>93</v>
      </c>
      <c r="G11" s="32">
        <v>58</v>
      </c>
      <c r="H11" s="32">
        <f t="shared" si="0"/>
        <v>-35</v>
      </c>
      <c r="I11" s="39"/>
      <c r="J11" s="32">
        <v>35</v>
      </c>
      <c r="K11" s="32">
        <v>23.662599668889975</v>
      </c>
      <c r="L11" s="32">
        <f t="shared" si="4"/>
        <v>-11.337400331110025</v>
      </c>
      <c r="M11" s="4"/>
    </row>
    <row r="12" spans="2:13" x14ac:dyDescent="0.35">
      <c r="B12" s="11" t="s">
        <v>12</v>
      </c>
      <c r="C12" s="32">
        <v>-14.565</v>
      </c>
      <c r="D12" s="32">
        <v>8.3518759999999972</v>
      </c>
      <c r="E12" s="32">
        <v>-6.4528210000000072</v>
      </c>
      <c r="F12" s="32">
        <f>-6.562548949842+2</f>
        <v>-4.5625489498420002</v>
      </c>
      <c r="G12" s="32">
        <v>-23</v>
      </c>
      <c r="H12" s="32">
        <f t="shared" si="0"/>
        <v>-18.437451050158</v>
      </c>
      <c r="I12" s="39"/>
      <c r="J12" s="32">
        <v>-5</v>
      </c>
      <c r="K12" s="32">
        <v>-12.4959417992225</v>
      </c>
      <c r="L12" s="32">
        <f t="shared" si="4"/>
        <v>-7.4959417992224999</v>
      </c>
      <c r="M12" s="4"/>
    </row>
    <row r="13" spans="2:13" x14ac:dyDescent="0.35">
      <c r="B13" s="44" t="s">
        <v>26</v>
      </c>
      <c r="C13" s="59">
        <f>SUM(C4:C8)</f>
        <v>145.25000000000026</v>
      </c>
      <c r="D13" s="59">
        <f>SUM(D4:D8)</f>
        <v>279.7210568242615</v>
      </c>
      <c r="E13" s="59">
        <f>SUM(E4:E8)</f>
        <v>289.92115143390902</v>
      </c>
      <c r="F13" s="59">
        <f>SUM(F4:F8)</f>
        <v>246.78010234754242</v>
      </c>
      <c r="G13" s="59">
        <f>SUM(G4:G8)</f>
        <v>390</v>
      </c>
      <c r="H13" s="59">
        <f t="shared" si="0"/>
        <v>143.21989765245758</v>
      </c>
      <c r="I13" s="36"/>
      <c r="J13" s="59">
        <f>SUM(J4:J8)</f>
        <v>367</v>
      </c>
      <c r="K13" s="59">
        <f>SUM(K4:K8)</f>
        <v>457.27504727382751</v>
      </c>
      <c r="L13" s="59">
        <f t="shared" si="4"/>
        <v>90.275047273827511</v>
      </c>
      <c r="M13" s="4"/>
    </row>
    <row r="14" spans="2:13" x14ac:dyDescent="0.35">
      <c r="B14" s="8" t="s">
        <v>61</v>
      </c>
      <c r="C14" s="33">
        <v>-94.125463529883277</v>
      </c>
      <c r="D14" s="33">
        <v>84.147117730128457</v>
      </c>
      <c r="E14" s="33">
        <v>-101.23108797954657</v>
      </c>
      <c r="F14" s="35">
        <v>14</v>
      </c>
      <c r="G14" s="35">
        <v>-454</v>
      </c>
      <c r="H14" s="35">
        <f t="shared" si="0"/>
        <v>-468</v>
      </c>
      <c r="I14" s="36"/>
      <c r="J14" s="32">
        <v>-702</v>
      </c>
      <c r="K14" s="32">
        <v>579.4725233079763</v>
      </c>
      <c r="L14" s="35">
        <f t="shared" si="4"/>
        <v>1281.4725233079762</v>
      </c>
      <c r="M14" s="4"/>
    </row>
    <row r="15" spans="2:13" x14ac:dyDescent="0.35">
      <c r="B15" s="8" t="s">
        <v>67</v>
      </c>
      <c r="C15" s="33">
        <v>50.718258292059382</v>
      </c>
      <c r="D15" s="33">
        <v>62.977060449999662</v>
      </c>
      <c r="E15" s="33">
        <v>75.537088250000323</v>
      </c>
      <c r="F15" s="35">
        <v>140.46049025315006</v>
      </c>
      <c r="G15" s="35">
        <v>246</v>
      </c>
      <c r="H15" s="35">
        <f t="shared" si="0"/>
        <v>105.53950974684994</v>
      </c>
      <c r="I15" s="36"/>
      <c r="J15" s="32">
        <v>196</v>
      </c>
      <c r="K15" s="32">
        <v>86.477364449999271</v>
      </c>
      <c r="L15" s="35">
        <f t="shared" si="4"/>
        <v>-109.52263555000073</v>
      </c>
      <c r="M15" s="4"/>
    </row>
    <row r="16" spans="2:13" x14ac:dyDescent="0.35">
      <c r="B16" s="8" t="s">
        <v>35</v>
      </c>
      <c r="C16" s="33">
        <v>-8.2237827219789352</v>
      </c>
      <c r="D16" s="33">
        <v>39.088979237840363</v>
      </c>
      <c r="E16" s="33">
        <v>93.439336224535054</v>
      </c>
      <c r="F16" s="35">
        <v>-72.272592600692462</v>
      </c>
      <c r="G16" s="35">
        <v>-316.9180093656089</v>
      </c>
      <c r="H16" s="35">
        <f t="shared" si="0"/>
        <v>-244.64541676491643</v>
      </c>
      <c r="I16" s="36"/>
      <c r="J16" s="32">
        <v>-123</v>
      </c>
      <c r="K16" s="32">
        <v>42.601064968197079</v>
      </c>
      <c r="L16" s="35">
        <f t="shared" si="4"/>
        <v>165.60106496819708</v>
      </c>
      <c r="M16" s="4"/>
    </row>
    <row r="17" spans="2:13" x14ac:dyDescent="0.35">
      <c r="B17" s="44" t="s">
        <v>28</v>
      </c>
      <c r="C17" s="59">
        <f>SUM(C13:C16)</f>
        <v>93.619012040197433</v>
      </c>
      <c r="D17" s="59">
        <f>SUM(D13:D16)</f>
        <v>465.93421424222998</v>
      </c>
      <c r="E17" s="59">
        <f>SUM(E13:E16)</f>
        <v>357.66648792889782</v>
      </c>
      <c r="F17" s="59">
        <f>SUM(F13:F16)</f>
        <v>328.96800000000002</v>
      </c>
      <c r="G17" s="59">
        <f>SUM(G13:G16)</f>
        <v>-134.9180093656089</v>
      </c>
      <c r="H17" s="59">
        <f t="shared" si="0"/>
        <v>-463.88600936560891</v>
      </c>
      <c r="I17" s="36"/>
      <c r="J17" s="59">
        <f>SUM(J13:J16)</f>
        <v>-262</v>
      </c>
      <c r="K17" s="59">
        <f>SUM(K13:K16)</f>
        <v>1165.826</v>
      </c>
      <c r="L17" s="59">
        <f t="shared" si="4"/>
        <v>1427.826</v>
      </c>
      <c r="M17" s="4"/>
    </row>
    <row r="18" spans="2:13" x14ac:dyDescent="0.35">
      <c r="B18" s="8" t="s">
        <v>83</v>
      </c>
      <c r="C18" s="34">
        <v>-45.805712960197368</v>
      </c>
      <c r="D18" s="34">
        <v>-45.947109931561464</v>
      </c>
      <c r="E18" s="34">
        <v>-35.093000000000004</v>
      </c>
      <c r="F18" s="32">
        <v>-29.882000000000001</v>
      </c>
      <c r="G18" s="35">
        <v>-33</v>
      </c>
      <c r="H18" s="32">
        <f t="shared" si="0"/>
        <v>-3.1179999999999986</v>
      </c>
      <c r="I18" s="39"/>
      <c r="J18" s="32">
        <v>-27</v>
      </c>
      <c r="K18" s="32">
        <v>-32.573</v>
      </c>
      <c r="L18" s="32">
        <f t="shared" si="4"/>
        <v>-5.5730000000000004</v>
      </c>
      <c r="M18" s="4"/>
    </row>
    <row r="19" spans="2:13" x14ac:dyDescent="0.35">
      <c r="B19" s="8" t="s">
        <v>84</v>
      </c>
      <c r="C19" s="58" t="s">
        <v>92</v>
      </c>
      <c r="D19" s="58" t="s">
        <v>92</v>
      </c>
      <c r="E19" s="58" t="s">
        <v>92</v>
      </c>
      <c r="F19" s="58" t="s">
        <v>92</v>
      </c>
      <c r="G19" s="35">
        <v>-5</v>
      </c>
      <c r="H19" s="58">
        <f>G19</f>
        <v>-5</v>
      </c>
      <c r="I19" s="39"/>
      <c r="J19" s="32">
        <v>-5</v>
      </c>
      <c r="K19" s="32">
        <v>-1.3680000000000021</v>
      </c>
      <c r="L19" s="58">
        <f>K19</f>
        <v>-1.3680000000000021</v>
      </c>
      <c r="M19" s="4"/>
    </row>
    <row r="20" spans="2:13" x14ac:dyDescent="0.35">
      <c r="B20" s="44" t="s">
        <v>4</v>
      </c>
      <c r="C20" s="59">
        <f>SUM(C17:C19)</f>
        <v>47.813299080000064</v>
      </c>
      <c r="D20" s="59">
        <f t="shared" ref="D20:F20" si="5">SUM(D17:D19)</f>
        <v>419.98710431066854</v>
      </c>
      <c r="E20" s="59">
        <f t="shared" si="5"/>
        <v>322.5734879288978</v>
      </c>
      <c r="F20" s="59">
        <f t="shared" si="5"/>
        <v>299.08600000000001</v>
      </c>
      <c r="G20" s="59">
        <f>SUM(G17:G19)</f>
        <v>-172.9180093656089</v>
      </c>
      <c r="H20" s="59">
        <f t="shared" si="0"/>
        <v>-472.00400936560891</v>
      </c>
      <c r="I20" s="36"/>
      <c r="J20" s="59">
        <f>SUM(J17:J19)</f>
        <v>-294</v>
      </c>
      <c r="K20" s="59">
        <f>SUM(K17:K19)</f>
        <v>1131.885</v>
      </c>
      <c r="L20" s="59">
        <f t="shared" ref="L20" si="6">K20-J20</f>
        <v>1425.885</v>
      </c>
      <c r="M20" s="4"/>
    </row>
    <row r="21" spans="2:13" x14ac:dyDescent="0.35">
      <c r="B21" s="2"/>
      <c r="C21" s="6"/>
      <c r="D21" s="6"/>
      <c r="E21" s="6"/>
      <c r="F21" s="6"/>
      <c r="G21" s="6"/>
      <c r="H21" s="6"/>
      <c r="J21" s="6"/>
      <c r="K21" s="6"/>
      <c r="L21" s="6"/>
      <c r="M21" s="4"/>
    </row>
    <row r="22" spans="2:13" x14ac:dyDescent="0.35">
      <c r="B22" s="42" t="s">
        <v>5</v>
      </c>
      <c r="C22" s="45" t="s">
        <v>69</v>
      </c>
      <c r="D22" s="45" t="s">
        <v>69</v>
      </c>
      <c r="E22" s="45" t="s">
        <v>69</v>
      </c>
      <c r="F22" s="45" t="s">
        <v>69</v>
      </c>
      <c r="G22" s="45" t="s">
        <v>69</v>
      </c>
      <c r="H22" s="45" t="s">
        <v>22</v>
      </c>
      <c r="I22" s="56"/>
      <c r="J22" s="47" t="s">
        <v>101</v>
      </c>
      <c r="K22" s="47" t="s">
        <v>101</v>
      </c>
      <c r="L22" s="47" t="s">
        <v>22</v>
      </c>
      <c r="M22" s="4"/>
    </row>
    <row r="23" spans="2:13" ht="15" thickBot="1" x14ac:dyDescent="0.4">
      <c r="B23" s="43" t="s">
        <v>23</v>
      </c>
      <c r="C23" s="46">
        <v>2014</v>
      </c>
      <c r="D23" s="46">
        <v>2015</v>
      </c>
      <c r="E23" s="46">
        <v>2016</v>
      </c>
      <c r="F23" s="46">
        <v>2017</v>
      </c>
      <c r="G23" s="46">
        <v>2018</v>
      </c>
      <c r="H23" s="57" t="s">
        <v>85</v>
      </c>
      <c r="I23" s="56"/>
      <c r="J23" s="49">
        <v>2018</v>
      </c>
      <c r="K23" s="49">
        <v>2019</v>
      </c>
      <c r="L23" s="50" t="s">
        <v>111</v>
      </c>
      <c r="M23" s="4"/>
    </row>
    <row r="24" spans="2:13" x14ac:dyDescent="0.35">
      <c r="B24" s="44" t="s">
        <v>55</v>
      </c>
      <c r="C24" s="55">
        <f t="shared" ref="C24:G24" si="7">SUM(C25,C26)</f>
        <v>37.245713618483506</v>
      </c>
      <c r="D24" s="55">
        <f t="shared" si="7"/>
        <v>39.558602184691004</v>
      </c>
      <c r="E24" s="55">
        <f t="shared" si="7"/>
        <v>32.903756477842002</v>
      </c>
      <c r="F24" s="55">
        <f t="shared" si="7"/>
        <v>35.228710832170989</v>
      </c>
      <c r="G24" s="55">
        <f t="shared" si="7"/>
        <v>41.2</v>
      </c>
      <c r="H24" s="55">
        <f t="shared" ref="H24:H36" si="8">G24-F24</f>
        <v>5.9712891678290134</v>
      </c>
      <c r="I24" s="22"/>
      <c r="J24" s="55">
        <f t="shared" ref="J24" si="9">SUM(J25,J26)</f>
        <v>31.193367717424721</v>
      </c>
      <c r="K24" s="55">
        <f t="shared" ref="K24" si="10">SUM(K25,K26)</f>
        <v>27.509547801915261</v>
      </c>
      <c r="L24" s="55">
        <f t="shared" ref="L24:L32" si="11">K24-J24</f>
        <v>-3.68381991550946</v>
      </c>
      <c r="M24" s="4"/>
    </row>
    <row r="25" spans="2:13" x14ac:dyDescent="0.35">
      <c r="B25" s="11" t="s">
        <v>56</v>
      </c>
      <c r="C25" s="16">
        <v>28.962274929221586</v>
      </c>
      <c r="D25" s="16">
        <v>27.349812704372003</v>
      </c>
      <c r="E25" s="16">
        <v>20.874515424179002</v>
      </c>
      <c r="F25" s="16">
        <v>24.291999056274001</v>
      </c>
      <c r="G25" s="16">
        <v>37.1</v>
      </c>
      <c r="H25" s="16">
        <f t="shared" si="8"/>
        <v>12.808000943726</v>
      </c>
      <c r="I25" s="22"/>
      <c r="J25" s="16">
        <v>27.793367717424722</v>
      </c>
      <c r="K25" s="16">
        <v>25.058627984783001</v>
      </c>
      <c r="L25" s="16">
        <f t="shared" si="11"/>
        <v>-2.7347397326417209</v>
      </c>
      <c r="M25" s="71"/>
    </row>
    <row r="26" spans="2:13" x14ac:dyDescent="0.35">
      <c r="B26" s="11" t="s">
        <v>70</v>
      </c>
      <c r="C26" s="16">
        <v>8.2834386892619207</v>
      </c>
      <c r="D26" s="16">
        <f t="shared" ref="D26:E26" si="12">SUM(D27:D28)</f>
        <v>12.208789480319004</v>
      </c>
      <c r="E26" s="16">
        <f t="shared" si="12"/>
        <v>12.029241053663002</v>
      </c>
      <c r="F26" s="16">
        <f>SUM(F27:F28)</f>
        <v>10.936711775896992</v>
      </c>
      <c r="G26" s="16">
        <f>SUM(G27:G28)</f>
        <v>4.0999999999999996</v>
      </c>
      <c r="H26" s="16">
        <f t="shared" si="8"/>
        <v>-6.8367117758969922</v>
      </c>
      <c r="I26" s="22"/>
      <c r="J26" s="16">
        <f>SUM(J27:J28)</f>
        <v>3.4</v>
      </c>
      <c r="K26" s="16">
        <f>SUM(K27:K28)</f>
        <v>2.4509198171322581</v>
      </c>
      <c r="L26" s="16">
        <f t="shared" si="11"/>
        <v>-0.94908018286774176</v>
      </c>
      <c r="M26" s="71"/>
    </row>
    <row r="27" spans="2:13" x14ac:dyDescent="0.35">
      <c r="B27" s="13" t="s">
        <v>49</v>
      </c>
      <c r="C27" s="16" t="s">
        <v>58</v>
      </c>
      <c r="D27" s="16">
        <v>8.9063157106120006</v>
      </c>
      <c r="E27" s="16">
        <v>7.1950076682160011</v>
      </c>
      <c r="F27" s="16">
        <v>3.3364558057319993</v>
      </c>
      <c r="G27" s="16">
        <v>3</v>
      </c>
      <c r="H27" s="16">
        <f t="shared" si="8"/>
        <v>-0.33645580573199929</v>
      </c>
      <c r="I27" s="22"/>
      <c r="J27" s="16">
        <v>2.2999999999999998</v>
      </c>
      <c r="K27" s="16">
        <v>2.4278772893879763</v>
      </c>
      <c r="L27" s="16">
        <f t="shared" si="11"/>
        <v>0.12787728938797649</v>
      </c>
      <c r="M27" s="4"/>
    </row>
    <row r="28" spans="2:13" x14ac:dyDescent="0.35">
      <c r="B28" s="13" t="s">
        <v>50</v>
      </c>
      <c r="C28" s="16" t="s">
        <v>58</v>
      </c>
      <c r="D28" s="16">
        <v>3.3024737697070026</v>
      </c>
      <c r="E28" s="16">
        <v>4.8342333854470008</v>
      </c>
      <c r="F28" s="16">
        <v>7.6002559701649934</v>
      </c>
      <c r="G28" s="16">
        <v>1.1000000000000001</v>
      </c>
      <c r="H28" s="16">
        <f t="shared" si="8"/>
        <v>-6.5002559701649929</v>
      </c>
      <c r="I28" s="22"/>
      <c r="J28" s="16">
        <v>1.1000000000000001</v>
      </c>
      <c r="K28" s="16">
        <v>2.3042527744281647E-2</v>
      </c>
      <c r="L28" s="16">
        <f t="shared" si="11"/>
        <v>-1.0769574722557185</v>
      </c>
      <c r="M28" s="4"/>
    </row>
    <row r="29" spans="2:13" x14ac:dyDescent="0.35">
      <c r="B29" s="44" t="s">
        <v>51</v>
      </c>
      <c r="C29" s="60">
        <v>3.9133322742656317E-2</v>
      </c>
      <c r="D29" s="60">
        <v>4.9333873492460566E-2</v>
      </c>
      <c r="E29" s="60">
        <v>5.4737501573004659E-2</v>
      </c>
      <c r="F29" s="60">
        <v>3.9050053073616864E-2</v>
      </c>
      <c r="G29" s="60">
        <v>5.9027842361998019E-2</v>
      </c>
      <c r="H29" s="60">
        <f t="shared" si="8"/>
        <v>1.9977789288381155E-2</v>
      </c>
      <c r="I29" s="22"/>
      <c r="J29" s="60">
        <v>4.4000000000000004E-2</v>
      </c>
      <c r="K29" s="60">
        <v>6.4991583026387897E-2</v>
      </c>
      <c r="L29" s="60">
        <f t="shared" si="11"/>
        <v>2.0991583026387893E-2</v>
      </c>
      <c r="M29" s="4"/>
    </row>
    <row r="30" spans="2:13" x14ac:dyDescent="0.35">
      <c r="B30" s="11" t="s">
        <v>52</v>
      </c>
      <c r="C30" s="12">
        <v>4.9000000000000002E-2</v>
      </c>
      <c r="D30" s="12">
        <v>5.2999999999999999E-2</v>
      </c>
      <c r="E30" s="12">
        <v>6.828999471259696E-2</v>
      </c>
      <c r="F30" s="12">
        <v>6.4115195796117422E-2</v>
      </c>
      <c r="G30" s="12">
        <v>6.0376249903696826E-2</v>
      </c>
      <c r="H30" s="12">
        <f t="shared" si="8"/>
        <v>-3.7389458924205962E-3</v>
      </c>
      <c r="I30" s="22"/>
      <c r="J30" s="12">
        <v>6.2826194417427331E-2</v>
      </c>
      <c r="K30" s="12">
        <v>6.7572990439750583E-2</v>
      </c>
      <c r="L30" s="12">
        <f t="shared" si="11"/>
        <v>4.7467960223232519E-3</v>
      </c>
      <c r="M30" s="4"/>
    </row>
    <row r="31" spans="2:13" x14ac:dyDescent="0.35">
      <c r="B31" s="11" t="s">
        <v>71</v>
      </c>
      <c r="C31" s="12">
        <v>1.5956052107020148E-2</v>
      </c>
      <c r="D31" s="12">
        <v>3.4782791462702335E-2</v>
      </c>
      <c r="E31" s="12">
        <v>6.1844693546392118E-2</v>
      </c>
      <c r="F31" s="12">
        <v>3.4665760081680916E-2</v>
      </c>
      <c r="G31" s="12">
        <v>3.9523182832020894E-2</v>
      </c>
      <c r="H31" s="12">
        <f t="shared" si="8"/>
        <v>4.8574227503399778E-3</v>
      </c>
      <c r="I31" s="22"/>
      <c r="J31" s="12">
        <v>3.1E-2</v>
      </c>
      <c r="K31" s="12">
        <v>3.9265788535116364E-2</v>
      </c>
      <c r="L31" s="12">
        <f t="shared" si="11"/>
        <v>8.265788535116364E-3</v>
      </c>
      <c r="M31" s="4"/>
    </row>
    <row r="32" spans="2:13" x14ac:dyDescent="0.35">
      <c r="B32" s="13" t="s">
        <v>49</v>
      </c>
      <c r="C32" s="12" t="s">
        <v>58</v>
      </c>
      <c r="D32" s="12">
        <v>-2.6981660315782374E-2</v>
      </c>
      <c r="E32" s="12">
        <v>-7.0000000000000001E-3</v>
      </c>
      <c r="F32" s="12">
        <v>1.5093774718429062E-2</v>
      </c>
      <c r="G32" s="12">
        <v>3.1112406761257396E-2</v>
      </c>
      <c r="H32" s="12">
        <f t="shared" si="8"/>
        <v>1.6018632042828336E-2</v>
      </c>
      <c r="I32" s="22"/>
      <c r="J32" s="12">
        <v>0.02</v>
      </c>
      <c r="K32" s="12">
        <v>4.1000000000000002E-2</v>
      </c>
      <c r="L32" s="12">
        <f t="shared" si="11"/>
        <v>2.1000000000000001E-2</v>
      </c>
      <c r="M32" s="4"/>
    </row>
    <row r="33" spans="2:13" x14ac:dyDescent="0.35">
      <c r="B33" s="13" t="s">
        <v>50</v>
      </c>
      <c r="C33" s="12" t="s">
        <v>58</v>
      </c>
      <c r="D33" s="12">
        <v>0.17530217323365427</v>
      </c>
      <c r="E33" s="12">
        <v>0.15355213882183802</v>
      </c>
      <c r="F33" s="12">
        <v>4.0959191354374008E-2</v>
      </c>
      <c r="G33" s="12">
        <v>6.5729377574179806E-2</v>
      </c>
      <c r="H33" s="12">
        <f t="shared" si="8"/>
        <v>2.4770186219805798E-2</v>
      </c>
      <c r="I33" s="22"/>
      <c r="J33" s="12">
        <v>5.8000000000000003E-2</v>
      </c>
      <c r="K33" s="12" t="s">
        <v>58</v>
      </c>
      <c r="L33" s="12" t="s">
        <v>58</v>
      </c>
      <c r="M33" s="4"/>
    </row>
    <row r="34" spans="2:13" x14ac:dyDescent="0.35">
      <c r="B34" s="61" t="s">
        <v>12</v>
      </c>
      <c r="C34" s="62"/>
      <c r="D34" s="62"/>
      <c r="E34" s="62"/>
      <c r="F34" s="62"/>
      <c r="G34" s="62"/>
      <c r="H34" s="62"/>
      <c r="I34" s="22"/>
      <c r="J34" s="62"/>
      <c r="K34" s="62"/>
      <c r="L34" s="62"/>
      <c r="M34" s="4"/>
    </row>
    <row r="35" spans="2:13" x14ac:dyDescent="0.35">
      <c r="B35" s="26" t="s">
        <v>59</v>
      </c>
      <c r="C35" s="16">
        <v>8.8264359999999993</v>
      </c>
      <c r="D35" s="16">
        <v>8.9264510000000001</v>
      </c>
      <c r="E35" s="16">
        <v>8.9866869999999999</v>
      </c>
      <c r="F35" s="16">
        <v>9.1999999999999993</v>
      </c>
      <c r="G35" s="16">
        <v>9.554451000000002</v>
      </c>
      <c r="H35" s="16">
        <f t="shared" si="8"/>
        <v>0.35445100000000274</v>
      </c>
      <c r="I35" s="22"/>
      <c r="J35" s="16">
        <v>9.3958450000000013</v>
      </c>
      <c r="K35" s="16">
        <v>9.7504849999999994</v>
      </c>
      <c r="L35" s="16">
        <f t="shared" ref="L35:L36" si="13">K35-J35</f>
        <v>0.35463999999999807</v>
      </c>
      <c r="M35" s="4"/>
    </row>
    <row r="36" spans="2:13" x14ac:dyDescent="0.35">
      <c r="B36" s="2" t="s">
        <v>17</v>
      </c>
      <c r="C36" s="12">
        <v>8.9999999999999993E-3</v>
      </c>
      <c r="D36" s="12">
        <v>0.03</v>
      </c>
      <c r="E36" s="12">
        <v>2.9000000000000001E-2</v>
      </c>
      <c r="F36" s="12">
        <v>1.2E-2</v>
      </c>
      <c r="G36" s="12">
        <v>6.0205476142579789E-3</v>
      </c>
      <c r="H36" s="12">
        <f t="shared" si="8"/>
        <v>-5.9794523857420213E-3</v>
      </c>
      <c r="I36" s="22"/>
      <c r="J36" s="12">
        <v>4.991855489218734E-3</v>
      </c>
      <c r="K36" s="12">
        <v>2.4410810508296548E-4</v>
      </c>
      <c r="L36" s="12">
        <f t="shared" si="13"/>
        <v>-4.7477473841357684E-3</v>
      </c>
      <c r="M36" s="4"/>
    </row>
  </sheetData>
  <pageMargins left="0.7" right="0.7" top="0.75" bottom="0.75" header="0.3" footer="0.3"/>
  <pageSetup paperSize="9" scale="3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58"/>
  <sheetViews>
    <sheetView showGridLines="0" tabSelected="1" topLeftCell="A22" workbookViewId="0">
      <selection activeCell="R30" sqref="R30"/>
    </sheetView>
  </sheetViews>
  <sheetFormatPr defaultColWidth="8.90625" defaultRowHeight="14.5" x14ac:dyDescent="0.35"/>
  <cols>
    <col min="1" max="1" width="8.90625" style="37"/>
    <col min="2" max="2" width="54.08984375" style="37" customWidth="1"/>
    <col min="3" max="8" width="10.6328125" style="37" customWidth="1"/>
    <col min="9" max="9" width="1.6328125" style="15" customWidth="1"/>
    <col min="10" max="12" width="10.6328125" style="37" customWidth="1"/>
    <col min="13" max="16384" width="8.90625" style="37"/>
  </cols>
  <sheetData>
    <row r="1" spans="2:13" x14ac:dyDescent="0.35">
      <c r="C1" s="3"/>
      <c r="D1" s="3"/>
      <c r="E1" s="3"/>
      <c r="F1" s="25"/>
      <c r="G1" s="25"/>
      <c r="H1" s="25"/>
      <c r="J1" s="25"/>
      <c r="K1" s="25"/>
      <c r="L1" s="25"/>
    </row>
    <row r="2" spans="2:13" x14ac:dyDescent="0.35">
      <c r="B2" s="42" t="s">
        <v>1</v>
      </c>
      <c r="C2" s="45" t="s">
        <v>69</v>
      </c>
      <c r="D2" s="45" t="s">
        <v>69</v>
      </c>
      <c r="E2" s="45" t="s">
        <v>69</v>
      </c>
      <c r="F2" s="45" t="s">
        <v>69</v>
      </c>
      <c r="G2" s="45" t="s">
        <v>69</v>
      </c>
      <c r="H2" s="45" t="s">
        <v>22</v>
      </c>
      <c r="I2" s="56"/>
      <c r="J2" s="47" t="s">
        <v>101</v>
      </c>
      <c r="K2" s="47" t="s">
        <v>101</v>
      </c>
      <c r="L2" s="47" t="s">
        <v>22</v>
      </c>
    </row>
    <row r="3" spans="2:13" ht="15" thickBot="1" x14ac:dyDescent="0.4">
      <c r="B3" s="43" t="s">
        <v>0</v>
      </c>
      <c r="C3" s="46">
        <v>2014</v>
      </c>
      <c r="D3" s="46">
        <v>2015</v>
      </c>
      <c r="E3" s="46">
        <v>2016</v>
      </c>
      <c r="F3" s="46">
        <v>2017</v>
      </c>
      <c r="G3" s="46">
        <v>2018</v>
      </c>
      <c r="H3" s="50" t="s">
        <v>85</v>
      </c>
      <c r="I3" s="56"/>
      <c r="J3" s="49">
        <v>2018</v>
      </c>
      <c r="K3" s="49">
        <v>2019</v>
      </c>
      <c r="L3" s="50" t="s">
        <v>111</v>
      </c>
    </row>
    <row r="4" spans="2:13" x14ac:dyDescent="0.35">
      <c r="B4" s="5" t="s">
        <v>79</v>
      </c>
      <c r="C4" s="4">
        <v>205.39000000000001</v>
      </c>
      <c r="D4" s="4">
        <v>304.83100000000002</v>
      </c>
      <c r="E4" s="4">
        <v>609.62800000000004</v>
      </c>
      <c r="F4" s="4">
        <v>1014</v>
      </c>
      <c r="G4" s="4">
        <v>1717</v>
      </c>
      <c r="H4" s="4">
        <f>G4-F4</f>
        <v>703</v>
      </c>
      <c r="I4" s="63"/>
      <c r="J4" s="4">
        <v>1031</v>
      </c>
      <c r="K4" s="4">
        <v>1497</v>
      </c>
      <c r="L4" s="4">
        <f>K4-J4</f>
        <v>466</v>
      </c>
      <c r="M4" s="3"/>
    </row>
    <row r="5" spans="2:13" x14ac:dyDescent="0.35">
      <c r="B5" s="2" t="s">
        <v>13</v>
      </c>
      <c r="C5" s="4">
        <v>210.18100000000001</v>
      </c>
      <c r="D5" s="4">
        <v>200.333</v>
      </c>
      <c r="E5" s="4">
        <v>443.23500000000001</v>
      </c>
      <c r="F5" s="4">
        <v>592</v>
      </c>
      <c r="G5" s="4">
        <v>798</v>
      </c>
      <c r="H5" s="4">
        <f t="shared" ref="H5:H25" si="0">G5-F5</f>
        <v>206</v>
      </c>
      <c r="I5" s="63"/>
      <c r="J5" s="4">
        <v>599</v>
      </c>
      <c r="K5" s="4">
        <v>793</v>
      </c>
      <c r="L5" s="4">
        <f t="shared" ref="L5:L10" si="1">K5-J5</f>
        <v>194</v>
      </c>
      <c r="M5" s="3"/>
    </row>
    <row r="6" spans="2:13" x14ac:dyDescent="0.35">
      <c r="B6" s="5" t="s">
        <v>25</v>
      </c>
      <c r="C6" s="4">
        <f>SUM(C7:C11)</f>
        <v>66.836883419186591</v>
      </c>
      <c r="D6" s="4">
        <f>SUM(D7:D11)</f>
        <v>136.90278828440944</v>
      </c>
      <c r="E6" s="4">
        <f>SUM(E7:E11)</f>
        <v>448.97269115704557</v>
      </c>
      <c r="F6" s="4">
        <f>SUM(F7:F11)</f>
        <v>605</v>
      </c>
      <c r="G6" s="4">
        <f>SUM(G7:G11)</f>
        <v>816</v>
      </c>
      <c r="H6" s="4">
        <f t="shared" si="0"/>
        <v>211</v>
      </c>
      <c r="I6" s="63"/>
      <c r="J6" s="4">
        <f>SUM(J7:J11)</f>
        <v>584</v>
      </c>
      <c r="K6" s="4">
        <f>SUM(K7:K11)</f>
        <v>634</v>
      </c>
      <c r="L6" s="4">
        <f t="shared" si="1"/>
        <v>50</v>
      </c>
      <c r="M6" s="3"/>
    </row>
    <row r="7" spans="2:13" x14ac:dyDescent="0.35">
      <c r="B7" s="14" t="s">
        <v>7</v>
      </c>
      <c r="C7" s="4">
        <v>41.669966764836175</v>
      </c>
      <c r="D7" s="4">
        <v>23.435786273687899</v>
      </c>
      <c r="E7" s="4">
        <v>165</v>
      </c>
      <c r="F7" s="4">
        <v>142</v>
      </c>
      <c r="G7" s="4">
        <v>105</v>
      </c>
      <c r="H7" s="4">
        <f t="shared" si="0"/>
        <v>-37</v>
      </c>
      <c r="I7" s="63"/>
      <c r="J7" s="4">
        <v>88</v>
      </c>
      <c r="K7" s="4">
        <v>68</v>
      </c>
      <c r="L7" s="4">
        <f t="shared" si="1"/>
        <v>-20</v>
      </c>
      <c r="M7" s="3"/>
    </row>
    <row r="8" spans="2:13" x14ac:dyDescent="0.35">
      <c r="B8" s="14" t="s">
        <v>8</v>
      </c>
      <c r="C8" s="4">
        <v>78.227916654350452</v>
      </c>
      <c r="D8" s="4">
        <v>70.018002010721489</v>
      </c>
      <c r="E8" s="4">
        <v>146.45319474679684</v>
      </c>
      <c r="F8" s="4">
        <v>51</v>
      </c>
      <c r="G8" s="4">
        <v>85</v>
      </c>
      <c r="H8" s="4">
        <f t="shared" si="0"/>
        <v>34</v>
      </c>
      <c r="I8" s="63"/>
      <c r="J8" s="4">
        <v>104</v>
      </c>
      <c r="K8" s="4">
        <v>139</v>
      </c>
      <c r="L8" s="4">
        <f t="shared" si="1"/>
        <v>35</v>
      </c>
      <c r="M8" s="3"/>
    </row>
    <row r="9" spans="2:13" x14ac:dyDescent="0.35">
      <c r="B9" s="14" t="s">
        <v>9</v>
      </c>
      <c r="C9" s="4">
        <v>-60.061000000000035</v>
      </c>
      <c r="D9" s="4">
        <v>26.449000000000069</v>
      </c>
      <c r="E9" s="4">
        <v>83.756321633929019</v>
      </c>
      <c r="F9" s="4">
        <v>135</v>
      </c>
      <c r="G9" s="4">
        <v>97</v>
      </c>
      <c r="H9" s="4">
        <f t="shared" si="0"/>
        <v>-38</v>
      </c>
      <c r="I9" s="63"/>
      <c r="J9" s="4">
        <v>62</v>
      </c>
      <c r="K9" s="4">
        <v>81</v>
      </c>
      <c r="L9" s="4">
        <f t="shared" si="1"/>
        <v>19</v>
      </c>
      <c r="M9" s="3"/>
    </row>
    <row r="10" spans="2:13" x14ac:dyDescent="0.35">
      <c r="B10" s="14" t="s">
        <v>11</v>
      </c>
      <c r="C10" s="4">
        <v>7</v>
      </c>
      <c r="D10" s="4">
        <v>17</v>
      </c>
      <c r="E10" s="4">
        <v>53.763174776319715</v>
      </c>
      <c r="F10" s="4">
        <v>277</v>
      </c>
      <c r="G10" s="4">
        <v>413</v>
      </c>
      <c r="H10" s="4">
        <f t="shared" si="0"/>
        <v>136</v>
      </c>
      <c r="I10" s="63"/>
      <c r="J10" s="4">
        <v>262</v>
      </c>
      <c r="K10" s="4">
        <v>346</v>
      </c>
      <c r="L10" s="4">
        <f t="shared" si="1"/>
        <v>84</v>
      </c>
      <c r="M10" s="3"/>
    </row>
    <row r="11" spans="2:13" x14ac:dyDescent="0.35">
      <c r="B11" s="14" t="s">
        <v>78</v>
      </c>
      <c r="C11" s="64" t="s">
        <v>92</v>
      </c>
      <c r="D11" s="64" t="s">
        <v>92</v>
      </c>
      <c r="E11" s="64" t="s">
        <v>92</v>
      </c>
      <c r="F11" s="64" t="s">
        <v>92</v>
      </c>
      <c r="G11" s="4">
        <v>116</v>
      </c>
      <c r="H11" s="64">
        <f>G11</f>
        <v>116</v>
      </c>
      <c r="I11" s="63"/>
      <c r="J11" s="4">
        <v>68</v>
      </c>
      <c r="K11" s="64" t="s">
        <v>92</v>
      </c>
      <c r="L11" s="4">
        <f>-J11</f>
        <v>-68</v>
      </c>
      <c r="M11" s="3"/>
    </row>
    <row r="12" spans="2:13" x14ac:dyDescent="0.35">
      <c r="B12" s="17" t="s">
        <v>10</v>
      </c>
      <c r="C12" s="4">
        <v>32.309772053554298</v>
      </c>
      <c r="D12" s="4">
        <v>38.876549469487827</v>
      </c>
      <c r="E12" s="4">
        <v>44</v>
      </c>
      <c r="F12" s="4">
        <v>86</v>
      </c>
      <c r="G12" s="4">
        <v>133</v>
      </c>
      <c r="H12" s="4">
        <f t="shared" si="0"/>
        <v>47</v>
      </c>
      <c r="I12" s="63"/>
      <c r="J12" s="4">
        <v>90</v>
      </c>
      <c r="K12" s="4">
        <v>130</v>
      </c>
      <c r="L12" s="4">
        <f t="shared" ref="L12:L25" si="2">K12-J12</f>
        <v>40</v>
      </c>
      <c r="M12" s="3"/>
    </row>
    <row r="13" spans="2:13" x14ac:dyDescent="0.35">
      <c r="B13" s="5" t="s">
        <v>12</v>
      </c>
      <c r="C13" s="4">
        <v>120.604</v>
      </c>
      <c r="D13" s="4">
        <v>126.396</v>
      </c>
      <c r="E13" s="4">
        <f>E14-SUM(E12,E4:E6)</f>
        <v>103.99730884295445</v>
      </c>
      <c r="F13" s="4">
        <f>F14-SUM(F12,F4:F6)</f>
        <v>47</v>
      </c>
      <c r="G13" s="4">
        <v>26</v>
      </c>
      <c r="H13" s="4">
        <f t="shared" si="0"/>
        <v>-21</v>
      </c>
      <c r="I13" s="63"/>
      <c r="J13" s="4">
        <v>90</v>
      </c>
      <c r="K13" s="4">
        <v>-18</v>
      </c>
      <c r="L13" s="4">
        <f t="shared" si="2"/>
        <v>-108</v>
      </c>
      <c r="M13" s="3"/>
    </row>
    <row r="14" spans="2:13" x14ac:dyDescent="0.35">
      <c r="B14" s="44" t="s">
        <v>26</v>
      </c>
      <c r="C14" s="51">
        <f>SUM(C4:C6,C12:C13)</f>
        <v>635.32165547274099</v>
      </c>
      <c r="D14" s="51">
        <f>SUM(D4:D6,D12:D13)</f>
        <v>807.33933775389721</v>
      </c>
      <c r="E14" s="51">
        <v>1649.8330000000001</v>
      </c>
      <c r="F14" s="51">
        <v>2344</v>
      </c>
      <c r="G14" s="51">
        <f>SUM(G4:G6,G12:G13)</f>
        <v>3490</v>
      </c>
      <c r="H14" s="51">
        <f t="shared" si="0"/>
        <v>1146</v>
      </c>
      <c r="I14" s="65"/>
      <c r="J14" s="51">
        <f>SUM(J4:J6,J12:J13)</f>
        <v>2394</v>
      </c>
      <c r="K14" s="51">
        <f>SUM(K4:K6,K12:K13)</f>
        <v>3036</v>
      </c>
      <c r="L14" s="51">
        <f t="shared" si="2"/>
        <v>642</v>
      </c>
      <c r="M14" s="3"/>
    </row>
    <row r="15" spans="2:13" x14ac:dyDescent="0.35">
      <c r="B15" s="8" t="s">
        <v>27</v>
      </c>
      <c r="C15" s="9">
        <v>-71</v>
      </c>
      <c r="D15" s="9">
        <v>-125</v>
      </c>
      <c r="E15" s="9">
        <v>-265</v>
      </c>
      <c r="F15" s="4">
        <v>-577</v>
      </c>
      <c r="G15" s="4">
        <v>-1082</v>
      </c>
      <c r="H15" s="4">
        <f t="shared" si="0"/>
        <v>-505</v>
      </c>
      <c r="I15" s="63"/>
      <c r="J15" s="4">
        <v>-556</v>
      </c>
      <c r="K15" s="4">
        <v>-911</v>
      </c>
      <c r="L15" s="4">
        <f t="shared" si="2"/>
        <v>-355</v>
      </c>
      <c r="M15" s="3"/>
    </row>
    <row r="16" spans="2:13" x14ac:dyDescent="0.35">
      <c r="B16" s="8" t="s">
        <v>7</v>
      </c>
      <c r="C16" s="9">
        <f>-C7</f>
        <v>-41.669966764836175</v>
      </c>
      <c r="D16" s="9">
        <f>-D7</f>
        <v>-23.435786273687899</v>
      </c>
      <c r="E16" s="9">
        <f>-E7</f>
        <v>-165</v>
      </c>
      <c r="F16" s="9">
        <f>-F7</f>
        <v>-142</v>
      </c>
      <c r="G16" s="9">
        <v>-105</v>
      </c>
      <c r="H16" s="4">
        <f t="shared" si="0"/>
        <v>37</v>
      </c>
      <c r="I16" s="63"/>
      <c r="J16" s="9">
        <v>-88</v>
      </c>
      <c r="K16" s="9">
        <v>-68</v>
      </c>
      <c r="L16" s="4">
        <f t="shared" si="2"/>
        <v>20</v>
      </c>
      <c r="M16" s="3"/>
    </row>
    <row r="17" spans="2:13" x14ac:dyDescent="0.35">
      <c r="B17" s="26" t="s">
        <v>65</v>
      </c>
      <c r="C17" s="9">
        <v>113.25661363291499</v>
      </c>
      <c r="D17" s="9">
        <v>199.23259478990519</v>
      </c>
      <c r="E17" s="9">
        <v>280.96151216781016</v>
      </c>
      <c r="F17" s="9">
        <v>108.03374541289574</v>
      </c>
      <c r="G17" s="4">
        <v>362</v>
      </c>
      <c r="H17" s="4">
        <f t="shared" si="0"/>
        <v>253.96625458710426</v>
      </c>
      <c r="I17" s="63"/>
      <c r="J17" s="4">
        <v>313</v>
      </c>
      <c r="K17" s="4">
        <v>400</v>
      </c>
      <c r="L17" s="4">
        <f t="shared" si="2"/>
        <v>87</v>
      </c>
      <c r="M17" s="3"/>
    </row>
    <row r="18" spans="2:13" x14ac:dyDescent="0.35">
      <c r="B18" s="8" t="s">
        <v>95</v>
      </c>
      <c r="C18" s="9">
        <v>-588.88464686807879</v>
      </c>
      <c r="D18" s="9">
        <v>-233.94690002409573</v>
      </c>
      <c r="E18" s="9">
        <v>132.03811513005337</v>
      </c>
      <c r="F18" s="4">
        <v>-87.459060823983208</v>
      </c>
      <c r="G18" s="4">
        <v>-291</v>
      </c>
      <c r="H18" s="9">
        <f t="shared" si="0"/>
        <v>-203.54093917601679</v>
      </c>
      <c r="I18" s="63"/>
      <c r="J18" s="4">
        <v>-701</v>
      </c>
      <c r="K18" s="4">
        <v>-1228.2460000000001</v>
      </c>
      <c r="L18" s="9">
        <f t="shared" si="2"/>
        <v>-527.24600000000009</v>
      </c>
      <c r="M18" s="3"/>
    </row>
    <row r="19" spans="2:13" x14ac:dyDescent="0.35">
      <c r="B19" s="44" t="s">
        <v>28</v>
      </c>
      <c r="C19" s="51">
        <f>SUM(C14:C18)</f>
        <v>47.023655472740984</v>
      </c>
      <c r="D19" s="51">
        <f>SUM(D14:D18)</f>
        <v>624.1892462460188</v>
      </c>
      <c r="E19" s="51">
        <f t="shared" ref="E19:G19" si="3">SUM(E14:E18)</f>
        <v>1632.8326272978638</v>
      </c>
      <c r="F19" s="51">
        <f t="shared" si="3"/>
        <v>1645.5746845889125</v>
      </c>
      <c r="G19" s="51">
        <f t="shared" si="3"/>
        <v>2374</v>
      </c>
      <c r="H19" s="51">
        <f t="shared" si="0"/>
        <v>728.42531541108747</v>
      </c>
      <c r="I19" s="65"/>
      <c r="J19" s="51">
        <f t="shared" ref="J19:K19" si="4">SUM(J14:J18)</f>
        <v>1362</v>
      </c>
      <c r="K19" s="51">
        <f t="shared" si="4"/>
        <v>1228.7539999999999</v>
      </c>
      <c r="L19" s="51">
        <f t="shared" si="2"/>
        <v>-133.24600000000009</v>
      </c>
      <c r="M19" s="3"/>
    </row>
    <row r="20" spans="2:13" x14ac:dyDescent="0.35">
      <c r="B20" s="8" t="s">
        <v>29</v>
      </c>
      <c r="C20" s="9">
        <v>-619</v>
      </c>
      <c r="D20" s="9">
        <v>-1269</v>
      </c>
      <c r="E20" s="9">
        <v>-1599</v>
      </c>
      <c r="F20" s="9">
        <v>-1573</v>
      </c>
      <c r="G20" s="4">
        <v>-1605</v>
      </c>
      <c r="H20" s="9">
        <f t="shared" si="0"/>
        <v>-32</v>
      </c>
      <c r="I20" s="63"/>
      <c r="J20" s="4">
        <v>-1247</v>
      </c>
      <c r="K20" s="4">
        <v>-829</v>
      </c>
      <c r="L20" s="9">
        <f t="shared" si="2"/>
        <v>418</v>
      </c>
      <c r="M20" s="3"/>
    </row>
    <row r="21" spans="2:13" x14ac:dyDescent="0.35">
      <c r="B21" s="8" t="s">
        <v>7</v>
      </c>
      <c r="C21" s="9">
        <v>41.669966764836175</v>
      </c>
      <c r="D21" s="9">
        <v>23.435786273687899</v>
      </c>
      <c r="E21" s="9">
        <v>165</v>
      </c>
      <c r="F21" s="9">
        <v>142</v>
      </c>
      <c r="G21" s="9">
        <v>105</v>
      </c>
      <c r="H21" s="9">
        <f t="shared" si="0"/>
        <v>-37</v>
      </c>
      <c r="I21" s="63"/>
      <c r="J21" s="9">
        <v>88</v>
      </c>
      <c r="K21" s="9">
        <v>68</v>
      </c>
      <c r="L21" s="9">
        <f t="shared" si="2"/>
        <v>-20</v>
      </c>
      <c r="M21" s="3"/>
    </row>
    <row r="22" spans="2:13" x14ac:dyDescent="0.35">
      <c r="B22" s="8" t="s">
        <v>80</v>
      </c>
      <c r="C22" s="9">
        <v>-103.91940598232948</v>
      </c>
      <c r="D22" s="9">
        <v>-186.83463205894682</v>
      </c>
      <c r="E22" s="9">
        <v>-186.42000000000002</v>
      </c>
      <c r="F22" s="9">
        <v>-307.66720910269106</v>
      </c>
      <c r="G22" s="4">
        <v>-308</v>
      </c>
      <c r="H22" s="9">
        <f t="shared" si="0"/>
        <v>-0.33279089730893929</v>
      </c>
      <c r="I22" s="63"/>
      <c r="J22" s="4">
        <v>-254</v>
      </c>
      <c r="K22" s="4">
        <v>-149</v>
      </c>
      <c r="L22" s="9">
        <f t="shared" si="2"/>
        <v>105</v>
      </c>
      <c r="M22" s="3"/>
    </row>
    <row r="23" spans="2:13" x14ac:dyDescent="0.35">
      <c r="B23" s="8" t="s">
        <v>66</v>
      </c>
      <c r="C23" s="9">
        <v>202.24943921749332</v>
      </c>
      <c r="D23" s="9">
        <v>384.39884578525891</v>
      </c>
      <c r="E23" s="9">
        <v>108.42000000000002</v>
      </c>
      <c r="F23" s="9">
        <v>34.151704117641486</v>
      </c>
      <c r="G23" s="4">
        <v>259</v>
      </c>
      <c r="H23" s="9">
        <f t="shared" si="0"/>
        <v>224.84829588235851</v>
      </c>
      <c r="I23" s="63"/>
      <c r="J23" s="4">
        <v>55</v>
      </c>
      <c r="K23" s="4">
        <v>-368</v>
      </c>
      <c r="L23" s="9">
        <f t="shared" si="2"/>
        <v>-423</v>
      </c>
      <c r="M23" s="3"/>
    </row>
    <row r="24" spans="2:13" x14ac:dyDescent="0.35">
      <c r="B24" s="44" t="s">
        <v>30</v>
      </c>
      <c r="C24" s="51">
        <f>SUM(C20:C23)</f>
        <v>-479</v>
      </c>
      <c r="D24" s="51">
        <f>SUM(D20:D23)</f>
        <v>-1048</v>
      </c>
      <c r="E24" s="51">
        <f>SUM(E20:E23)</f>
        <v>-1512</v>
      </c>
      <c r="F24" s="51">
        <f t="shared" ref="F24:G24" si="5">SUM(F20:F23)</f>
        <v>-1704.5155049850496</v>
      </c>
      <c r="G24" s="51">
        <f t="shared" si="5"/>
        <v>-1549</v>
      </c>
      <c r="H24" s="51">
        <f t="shared" si="0"/>
        <v>155.51550498504957</v>
      </c>
      <c r="I24" s="65"/>
      <c r="J24" s="51">
        <f t="shared" ref="J24" si="6">SUM(J20:J23)</f>
        <v>-1358</v>
      </c>
      <c r="K24" s="51">
        <f t="shared" ref="K24" si="7">SUM(K20:K23)</f>
        <v>-1278</v>
      </c>
      <c r="L24" s="51">
        <f t="shared" si="2"/>
        <v>80</v>
      </c>
      <c r="M24" s="3"/>
    </row>
    <row r="25" spans="2:13" x14ac:dyDescent="0.35">
      <c r="B25" s="44" t="s">
        <v>4</v>
      </c>
      <c r="C25" s="51">
        <f>C24+C19</f>
        <v>-431.97634452725902</v>
      </c>
      <c r="D25" s="51">
        <f>D24+D19+0.5</f>
        <v>-423.3107537539812</v>
      </c>
      <c r="E25" s="51">
        <f>E24+E19</f>
        <v>120.83262729786384</v>
      </c>
      <c r="F25" s="51">
        <f>F24+F19</f>
        <v>-58.940820396137042</v>
      </c>
      <c r="G25" s="51">
        <f>G24+G19</f>
        <v>825</v>
      </c>
      <c r="H25" s="51">
        <f t="shared" si="0"/>
        <v>883.94082039613704</v>
      </c>
      <c r="I25" s="65"/>
      <c r="J25" s="51">
        <f>J24+J19</f>
        <v>4</v>
      </c>
      <c r="K25" s="51">
        <f>K24+K19</f>
        <v>-49.246000000000095</v>
      </c>
      <c r="L25" s="51">
        <f t="shared" si="2"/>
        <v>-53.246000000000095</v>
      </c>
      <c r="M25" s="3"/>
    </row>
    <row r="26" spans="2:13" x14ac:dyDescent="0.35">
      <c r="B26" s="18"/>
      <c r="C26" s="40"/>
      <c r="D26" s="40"/>
      <c r="E26" s="40"/>
      <c r="F26" s="40"/>
      <c r="G26" s="40"/>
      <c r="H26" s="40"/>
      <c r="J26" s="40"/>
      <c r="K26" s="40"/>
      <c r="L26" s="40"/>
    </row>
    <row r="27" spans="2:13" x14ac:dyDescent="0.35">
      <c r="B27" s="42" t="s">
        <v>1</v>
      </c>
      <c r="C27" s="45" t="s">
        <v>69</v>
      </c>
      <c r="D27" s="45" t="s">
        <v>69</v>
      </c>
      <c r="E27" s="45" t="s">
        <v>69</v>
      </c>
      <c r="F27" s="45" t="s">
        <v>69</v>
      </c>
      <c r="G27" s="45" t="s">
        <v>69</v>
      </c>
      <c r="H27" s="45" t="s">
        <v>22</v>
      </c>
      <c r="I27" s="56"/>
      <c r="J27" s="47" t="s">
        <v>101</v>
      </c>
      <c r="K27" s="47" t="s">
        <v>101</v>
      </c>
      <c r="L27" s="47" t="s">
        <v>22</v>
      </c>
    </row>
    <row r="28" spans="2:13" ht="15" thickBot="1" x14ac:dyDescent="0.4">
      <c r="B28" s="43" t="s">
        <v>23</v>
      </c>
      <c r="C28" s="46">
        <v>2014</v>
      </c>
      <c r="D28" s="46">
        <v>2015</v>
      </c>
      <c r="E28" s="46">
        <v>2016</v>
      </c>
      <c r="F28" s="46">
        <v>2017</v>
      </c>
      <c r="G28" s="46">
        <v>2018</v>
      </c>
      <c r="H28" s="50" t="s">
        <v>85</v>
      </c>
      <c r="I28" s="56"/>
      <c r="J28" s="49">
        <v>2018</v>
      </c>
      <c r="K28" s="49">
        <v>2019</v>
      </c>
      <c r="L28" s="50" t="s">
        <v>111</v>
      </c>
    </row>
    <row r="29" spans="2:13" x14ac:dyDescent="0.35">
      <c r="B29" s="5" t="s">
        <v>44</v>
      </c>
      <c r="C29" s="4">
        <v>966.44059948407414</v>
      </c>
      <c r="D29" s="4">
        <v>1435.1508576370379</v>
      </c>
      <c r="E29" s="4">
        <v>2661.5596138061192</v>
      </c>
      <c r="F29" s="4">
        <v>3914.3147285245618</v>
      </c>
      <c r="G29" s="4">
        <v>5322.0147285245612</v>
      </c>
      <c r="H29" s="4">
        <f t="shared" ref="H29:H57" si="8">G29-F29</f>
        <v>1407.6999999999994</v>
      </c>
      <c r="J29" s="4">
        <v>5322.0147285245612</v>
      </c>
      <c r="K29" s="4">
        <v>6948.0147285245612</v>
      </c>
      <c r="L29" s="4">
        <f t="shared" ref="L29:L34" si="9">K29-J29</f>
        <v>1626</v>
      </c>
      <c r="M29" s="66"/>
    </row>
    <row r="30" spans="2:13" x14ac:dyDescent="0.35">
      <c r="B30" s="14" t="s">
        <v>29</v>
      </c>
      <c r="C30" s="4">
        <v>619</v>
      </c>
      <c r="D30" s="4">
        <v>1269</v>
      </c>
      <c r="E30" s="4">
        <v>1599</v>
      </c>
      <c r="F30" s="4">
        <v>1573</v>
      </c>
      <c r="G30" s="4">
        <v>1605</v>
      </c>
      <c r="H30" s="4">
        <f t="shared" si="8"/>
        <v>32</v>
      </c>
      <c r="J30" s="4">
        <v>1247</v>
      </c>
      <c r="K30" s="4">
        <v>829</v>
      </c>
      <c r="L30" s="4">
        <f t="shared" si="9"/>
        <v>-418</v>
      </c>
      <c r="M30" s="66"/>
    </row>
    <row r="31" spans="2:13" x14ac:dyDescent="0.35">
      <c r="B31" s="14" t="s">
        <v>13</v>
      </c>
      <c r="C31" s="4">
        <v>-210.18100000000001</v>
      </c>
      <c r="D31" s="4">
        <v>-200.333</v>
      </c>
      <c r="E31" s="4">
        <v>-443.23500000000001</v>
      </c>
      <c r="F31" s="4">
        <v>-592</v>
      </c>
      <c r="G31" s="4">
        <v>-798</v>
      </c>
      <c r="H31" s="4">
        <f t="shared" si="8"/>
        <v>-206</v>
      </c>
      <c r="J31" s="4">
        <v>-599</v>
      </c>
      <c r="K31" s="4">
        <v>-793</v>
      </c>
      <c r="L31" s="4">
        <f t="shared" si="9"/>
        <v>-194</v>
      </c>
      <c r="M31" s="38"/>
    </row>
    <row r="32" spans="2:13" x14ac:dyDescent="0.35">
      <c r="B32" s="14" t="s">
        <v>46</v>
      </c>
      <c r="C32" s="4">
        <v>59.891264166825501</v>
      </c>
      <c r="D32" s="4">
        <v>157.74175616908124</v>
      </c>
      <c r="E32" s="4">
        <v>96.990114718442669</v>
      </c>
      <c r="F32" s="4">
        <v>426.7</v>
      </c>
      <c r="G32" s="4">
        <v>819</v>
      </c>
      <c r="H32" s="4">
        <f t="shared" si="8"/>
        <v>392.3</v>
      </c>
      <c r="J32" s="4">
        <v>819.72800000000007</v>
      </c>
      <c r="K32" s="4">
        <v>1092.24550456213</v>
      </c>
      <c r="L32" s="4">
        <f t="shared" si="9"/>
        <v>272.51750456212994</v>
      </c>
      <c r="M32" s="66"/>
    </row>
    <row r="33" spans="2:13" x14ac:dyDescent="0.35">
      <c r="B33" s="44" t="s">
        <v>45</v>
      </c>
      <c r="C33" s="51">
        <f>SUM(C29:C32)</f>
        <v>1435.1508636508995</v>
      </c>
      <c r="D33" s="51">
        <f>SUM(D29:D32)</f>
        <v>2661.5596138061192</v>
      </c>
      <c r="E33" s="51">
        <f>SUM(E29:E32)</f>
        <v>3914.3147285245618</v>
      </c>
      <c r="F33" s="51">
        <f>SUM(F29:F32)</f>
        <v>5322.0147285245612</v>
      </c>
      <c r="G33" s="51">
        <f>SUM(G29:G32)</f>
        <v>6948.0147285245612</v>
      </c>
      <c r="H33" s="51">
        <f t="shared" si="8"/>
        <v>1626</v>
      </c>
      <c r="I33" s="67"/>
      <c r="J33" s="51">
        <f>SUM(J29:J32)</f>
        <v>6789.7427285245612</v>
      </c>
      <c r="K33" s="51">
        <f>SUM(K29:K32)</f>
        <v>8076.2602330866912</v>
      </c>
      <c r="L33" s="51">
        <f t="shared" si="9"/>
        <v>1286.5175045621299</v>
      </c>
      <c r="M33" s="38"/>
    </row>
    <row r="34" spans="2:13" x14ac:dyDescent="0.35">
      <c r="B34" s="5" t="s">
        <v>96</v>
      </c>
      <c r="C34" s="23">
        <v>9.9699999999999997E-2</v>
      </c>
      <c r="D34" s="23">
        <v>9.9699999999999997E-2</v>
      </c>
      <c r="E34" s="23">
        <v>0.1191</v>
      </c>
      <c r="F34" s="23">
        <v>0.1191</v>
      </c>
      <c r="G34" s="23">
        <v>0.1361</v>
      </c>
      <c r="H34" s="23">
        <f t="shared" si="8"/>
        <v>1.7000000000000001E-2</v>
      </c>
      <c r="J34" s="23">
        <v>0.1361</v>
      </c>
      <c r="K34" s="23">
        <v>0.1361</v>
      </c>
      <c r="L34" s="23">
        <f t="shared" si="9"/>
        <v>0</v>
      </c>
      <c r="M34" s="66"/>
    </row>
    <row r="35" spans="2:13" x14ac:dyDescent="0.35">
      <c r="B35" s="44" t="s">
        <v>14</v>
      </c>
      <c r="C35" s="68"/>
      <c r="D35" s="68"/>
      <c r="E35" s="68"/>
      <c r="F35" s="68"/>
      <c r="G35" s="68"/>
      <c r="H35" s="68"/>
      <c r="I35" s="67"/>
      <c r="J35" s="68"/>
      <c r="K35" s="68"/>
      <c r="L35" s="68"/>
      <c r="M35" s="66"/>
    </row>
    <row r="36" spans="2:13" x14ac:dyDescent="0.35">
      <c r="B36" s="5" t="s">
        <v>47</v>
      </c>
      <c r="C36" s="4">
        <v>567.00000000000011</v>
      </c>
      <c r="D36" s="4">
        <v>567</v>
      </c>
      <c r="E36" s="4">
        <v>863.87649800000008</v>
      </c>
      <c r="F36" s="4">
        <v>863.87649800000008</v>
      </c>
      <c r="G36" s="4">
        <v>863.87649800000008</v>
      </c>
      <c r="H36" s="4">
        <f t="shared" si="8"/>
        <v>0</v>
      </c>
      <c r="J36" s="4">
        <v>648</v>
      </c>
      <c r="K36" s="4">
        <v>647.90737349999995</v>
      </c>
      <c r="L36" s="53" t="s">
        <v>92</v>
      </c>
      <c r="M36" s="66"/>
    </row>
    <row r="37" spans="2:13" x14ac:dyDescent="0.35">
      <c r="B37" s="5" t="s">
        <v>48</v>
      </c>
      <c r="C37" s="4">
        <v>525.66332335329355</v>
      </c>
      <c r="D37" s="4">
        <v>571.97426214071868</v>
      </c>
      <c r="E37" s="4">
        <v>903.09364590696111</v>
      </c>
      <c r="F37" s="4">
        <v>1001.5406495151198</v>
      </c>
      <c r="G37" s="4">
        <v>1156</v>
      </c>
      <c r="H37" s="4">
        <f t="shared" si="8"/>
        <v>154.45935048488025</v>
      </c>
      <c r="J37" s="4">
        <v>867</v>
      </c>
      <c r="K37" s="4">
        <v>1002.9712833113961</v>
      </c>
      <c r="L37" s="4">
        <f t="shared" ref="L37:L39" si="10">K37-J37</f>
        <v>135.97128331139606</v>
      </c>
      <c r="M37" s="66"/>
    </row>
    <row r="38" spans="2:13" x14ac:dyDescent="0.35">
      <c r="B38" s="5" t="s">
        <v>29</v>
      </c>
      <c r="C38" s="4">
        <v>619</v>
      </c>
      <c r="D38" s="4">
        <v>1269</v>
      </c>
      <c r="E38" s="4">
        <v>1599</v>
      </c>
      <c r="F38" s="4">
        <v>1573</v>
      </c>
      <c r="G38" s="4">
        <v>1605</v>
      </c>
      <c r="H38" s="4">
        <f t="shared" si="8"/>
        <v>32</v>
      </c>
      <c r="J38" s="4">
        <v>1247</v>
      </c>
      <c r="K38" s="4">
        <v>829</v>
      </c>
      <c r="L38" s="4">
        <f t="shared" si="10"/>
        <v>-418</v>
      </c>
      <c r="M38" s="66"/>
    </row>
    <row r="39" spans="2:13" x14ac:dyDescent="0.35">
      <c r="B39" s="5" t="s">
        <v>19</v>
      </c>
      <c r="C39" s="10">
        <f>C38/C37-1</f>
        <v>0.17755980396596116</v>
      </c>
      <c r="D39" s="10">
        <f t="shared" ref="D39:F39" si="11">D38/D37-1</f>
        <v>1.2186312986366459</v>
      </c>
      <c r="E39" s="10">
        <f t="shared" si="11"/>
        <v>0.77058050097800468</v>
      </c>
      <c r="F39" s="10">
        <f t="shared" si="11"/>
        <v>0.57058028624354229</v>
      </c>
      <c r="G39" s="10">
        <v>0.3884083044982698</v>
      </c>
      <c r="H39" s="10">
        <f t="shared" si="8"/>
        <v>-0.18217198174527249</v>
      </c>
      <c r="J39" s="10">
        <v>0.43829296424452124</v>
      </c>
      <c r="K39" s="10">
        <v>-0.17345589670026729</v>
      </c>
      <c r="L39" s="10">
        <f t="shared" si="10"/>
        <v>-0.61174886094478853</v>
      </c>
      <c r="M39" s="66"/>
    </row>
    <row r="40" spans="2:13" x14ac:dyDescent="0.35">
      <c r="B40" s="44" t="s">
        <v>73</v>
      </c>
      <c r="C40" s="69"/>
      <c r="D40" s="69"/>
      <c r="E40" s="69"/>
      <c r="F40" s="69"/>
      <c r="G40" s="69"/>
      <c r="H40" s="69"/>
      <c r="I40" s="67"/>
      <c r="J40" s="69"/>
      <c r="K40" s="69"/>
      <c r="L40" s="69"/>
      <c r="M40" s="66"/>
    </row>
    <row r="41" spans="2:13" x14ac:dyDescent="0.35">
      <c r="B41" s="5" t="s">
        <v>97</v>
      </c>
      <c r="C41" s="12">
        <v>7.8799999999999995E-2</v>
      </c>
      <c r="D41" s="12">
        <v>7.8799999999999995E-2</v>
      </c>
      <c r="E41" s="12">
        <v>0.08</v>
      </c>
      <c r="F41" s="12">
        <v>7.7499999999999999E-2</v>
      </c>
      <c r="G41" s="7">
        <v>7.6352424951418529E-2</v>
      </c>
      <c r="H41" s="7">
        <f t="shared" si="8"/>
        <v>-1.1475750485814701E-3</v>
      </c>
      <c r="J41" s="12">
        <v>7.6352424951418529E-2</v>
      </c>
      <c r="K41" s="12">
        <v>7.3323606072953129E-2</v>
      </c>
      <c r="L41" s="7">
        <f t="shared" ref="L41:L44" si="12">K41-J41</f>
        <v>-3.0288188784654002E-3</v>
      </c>
      <c r="M41" s="66"/>
    </row>
    <row r="42" spans="2:13" x14ac:dyDescent="0.35">
      <c r="B42" s="5" t="s">
        <v>98</v>
      </c>
      <c r="C42" s="12">
        <v>7.6799999999999993E-2</v>
      </c>
      <c r="D42" s="12">
        <v>7.0000000000000007E-2</v>
      </c>
      <c r="E42" s="12">
        <v>6.9800000000000001E-2</v>
      </c>
      <c r="F42" s="12">
        <v>6.0496507664818691E-2</v>
      </c>
      <c r="G42" s="7">
        <v>6.107955885564343E-2</v>
      </c>
      <c r="H42" s="7">
        <f t="shared" si="8"/>
        <v>5.8305119082473905E-4</v>
      </c>
      <c r="J42" s="12">
        <v>6.1786990449597019E-2</v>
      </c>
      <c r="K42" s="12">
        <v>5.7035122763974599E-2</v>
      </c>
      <c r="L42" s="7">
        <f t="shared" si="12"/>
        <v>-4.7518676856224198E-3</v>
      </c>
      <c r="M42" s="66"/>
    </row>
    <row r="43" spans="2:13" x14ac:dyDescent="0.35">
      <c r="B43" s="5" t="s">
        <v>16</v>
      </c>
      <c r="C43" s="12">
        <f>C41-C42</f>
        <v>2.0000000000000018E-3</v>
      </c>
      <c r="D43" s="12">
        <f>D41-D42</f>
        <v>8.7999999999999884E-3</v>
      </c>
      <c r="E43" s="12">
        <f>E41-E42</f>
        <v>1.0200000000000001E-2</v>
      </c>
      <c r="F43" s="12">
        <v>1.7003492335181308E-2</v>
      </c>
      <c r="G43" s="12">
        <v>1.5272866095775099E-2</v>
      </c>
      <c r="H43" s="7">
        <f t="shared" si="8"/>
        <v>-1.7306262394062091E-3</v>
      </c>
      <c r="J43" s="12">
        <v>1.456543450182151E-2</v>
      </c>
      <c r="K43" s="12">
        <v>1.628848330897853E-2</v>
      </c>
      <c r="L43" s="7">
        <f t="shared" si="12"/>
        <v>1.7230488071570196E-3</v>
      </c>
      <c r="M43" s="66"/>
    </row>
    <row r="44" spans="2:13" x14ac:dyDescent="0.35">
      <c r="B44" s="5" t="s">
        <v>57</v>
      </c>
      <c r="C44" s="16">
        <v>14.3</v>
      </c>
      <c r="D44" s="16">
        <v>15</v>
      </c>
      <c r="E44" s="16">
        <v>15.3</v>
      </c>
      <c r="F44" s="16">
        <v>16</v>
      </c>
      <c r="G44" s="16">
        <v>16.2</v>
      </c>
      <c r="H44" s="16">
        <f t="shared" si="8"/>
        <v>0.19999999999999929</v>
      </c>
      <c r="J44" s="16">
        <v>12.1</v>
      </c>
      <c r="K44" s="16">
        <v>11.782180986868775</v>
      </c>
      <c r="L44" s="16">
        <f t="shared" si="12"/>
        <v>-0.31781901313122418</v>
      </c>
      <c r="M44" s="66"/>
    </row>
    <row r="45" spans="2:13" x14ac:dyDescent="0.35">
      <c r="B45" s="44" t="s">
        <v>72</v>
      </c>
      <c r="C45" s="69"/>
      <c r="D45" s="69"/>
      <c r="E45" s="69"/>
      <c r="F45" s="69"/>
      <c r="G45" s="69"/>
      <c r="H45" s="69"/>
      <c r="I45" s="67"/>
      <c r="J45" s="69"/>
      <c r="K45" s="69"/>
      <c r="L45" s="69"/>
      <c r="M45" s="66"/>
    </row>
    <row r="46" spans="2:13" x14ac:dyDescent="0.35">
      <c r="B46" s="5" t="s">
        <v>97</v>
      </c>
      <c r="C46" s="12">
        <v>6.6100000000000006E-2</v>
      </c>
      <c r="D46" s="12">
        <v>6.6100000000000006E-2</v>
      </c>
      <c r="E46" s="12">
        <v>7.6100000000000001E-2</v>
      </c>
      <c r="F46" s="7">
        <v>7.6316666666666672E-2</v>
      </c>
      <c r="G46" s="7">
        <v>7.4955134146130781E-2</v>
      </c>
      <c r="H46" s="7">
        <f t="shared" si="8"/>
        <v>-1.3615325205358908E-3</v>
      </c>
      <c r="J46" s="12">
        <v>7.4955134146130781E-2</v>
      </c>
      <c r="K46" s="12">
        <v>7.3127731018089281E-2</v>
      </c>
      <c r="L46" s="7">
        <f t="shared" ref="L46:L49" si="13">K46-J46</f>
        <v>-1.8274031280414993E-3</v>
      </c>
      <c r="M46" s="66"/>
    </row>
    <row r="47" spans="2:13" x14ac:dyDescent="0.35">
      <c r="B47" s="5" t="s">
        <v>98</v>
      </c>
      <c r="C47" s="12">
        <v>7.2000000000000008E-2</v>
      </c>
      <c r="D47" s="12">
        <v>7.0200000000000012E-2</v>
      </c>
      <c r="E47" s="12">
        <v>6.7799999999999999E-2</v>
      </c>
      <c r="F47" s="7">
        <v>6.1040921531194961E-2</v>
      </c>
      <c r="G47" s="7">
        <v>6.0422329224719774E-2</v>
      </c>
      <c r="H47" s="7">
        <f t="shared" si="8"/>
        <v>-6.1859230647518665E-4</v>
      </c>
      <c r="J47" s="12">
        <v>6.2005546421636658E-2</v>
      </c>
      <c r="K47" s="12">
        <v>5.7401142899667676E-2</v>
      </c>
      <c r="L47" s="7">
        <f t="shared" si="13"/>
        <v>-4.6044035219689819E-3</v>
      </c>
      <c r="M47" s="66"/>
    </row>
    <row r="48" spans="2:13" x14ac:dyDescent="0.35">
      <c r="B48" s="5" t="s">
        <v>16</v>
      </c>
      <c r="C48" s="12">
        <f>C46-C47</f>
        <v>-5.9000000000000025E-3</v>
      </c>
      <c r="D48" s="12">
        <f>D46-D47</f>
        <v>-4.1000000000000064E-3</v>
      </c>
      <c r="E48" s="12">
        <f>E46-E47</f>
        <v>8.3000000000000018E-3</v>
      </c>
      <c r="F48" s="7">
        <v>1.5275745135471711E-2</v>
      </c>
      <c r="G48" s="12">
        <v>1.4532804921411006E-2</v>
      </c>
      <c r="H48" s="7">
        <f t="shared" si="8"/>
        <v>-7.4294021406070415E-4</v>
      </c>
      <c r="J48" s="12">
        <v>1.2949587724494123E-2</v>
      </c>
      <c r="K48" s="12">
        <v>1.5726588118421606E-2</v>
      </c>
      <c r="L48" s="7">
        <f t="shared" si="13"/>
        <v>2.7770003939274826E-3</v>
      </c>
      <c r="M48" s="66"/>
    </row>
    <row r="49" spans="2:13" x14ac:dyDescent="0.35">
      <c r="B49" s="5" t="s">
        <v>57</v>
      </c>
      <c r="C49" s="16">
        <v>11.1</v>
      </c>
      <c r="D49" s="16">
        <v>11.6</v>
      </c>
      <c r="E49" s="16">
        <v>11.9</v>
      </c>
      <c r="F49" s="16">
        <v>12.3</v>
      </c>
      <c r="G49" s="16">
        <v>12.6</v>
      </c>
      <c r="H49" s="16">
        <f t="shared" si="8"/>
        <v>0.29999999999999893</v>
      </c>
      <c r="J49" s="16">
        <v>9.4</v>
      </c>
      <c r="K49" s="16">
        <v>9.3080600637675506</v>
      </c>
      <c r="L49" s="16">
        <f t="shared" si="13"/>
        <v>-9.1939936232449782E-2</v>
      </c>
      <c r="M49" s="66"/>
    </row>
    <row r="50" spans="2:13" x14ac:dyDescent="0.35">
      <c r="B50" s="44" t="s">
        <v>74</v>
      </c>
      <c r="C50" s="69"/>
      <c r="D50" s="69"/>
      <c r="E50" s="69"/>
      <c r="F50" s="69"/>
      <c r="G50" s="69"/>
      <c r="H50" s="69"/>
      <c r="I50" s="67"/>
      <c r="J50" s="69"/>
      <c r="K50" s="69"/>
      <c r="L50" s="69"/>
      <c r="M50" s="66"/>
    </row>
    <row r="51" spans="2:13" x14ac:dyDescent="0.35">
      <c r="B51" s="5" t="s">
        <v>97</v>
      </c>
      <c r="C51" s="12">
        <v>0.1124</v>
      </c>
      <c r="D51" s="12">
        <v>0.1171</v>
      </c>
      <c r="E51" s="12">
        <v>0.13589999999999999</v>
      </c>
      <c r="F51" s="12">
        <v>0.13320000000000001</v>
      </c>
      <c r="G51" s="7">
        <v>0.1234</v>
      </c>
      <c r="H51" s="7">
        <f t="shared" si="8"/>
        <v>-9.800000000000017E-3</v>
      </c>
      <c r="J51" s="12">
        <v>0.1234</v>
      </c>
      <c r="K51" s="12">
        <v>0.11736455562286591</v>
      </c>
      <c r="L51" s="7">
        <f t="shared" ref="L51:L54" si="14">K51-J51</f>
        <v>-6.0354443771340888E-3</v>
      </c>
      <c r="M51" s="66"/>
    </row>
    <row r="52" spans="2:13" x14ac:dyDescent="0.35">
      <c r="B52" s="5" t="s">
        <v>98</v>
      </c>
      <c r="C52" s="12">
        <v>0.1318</v>
      </c>
      <c r="D52" s="12">
        <v>0.12498657911970756</v>
      </c>
      <c r="E52" s="12">
        <v>0.12119999999999999</v>
      </c>
      <c r="F52" s="12">
        <v>0.1136432884121565</v>
      </c>
      <c r="G52" s="7">
        <v>0.11852468775041411</v>
      </c>
      <c r="H52" s="7">
        <f t="shared" si="8"/>
        <v>4.881399338257611E-3</v>
      </c>
      <c r="J52" s="12">
        <v>0.1210518468887621</v>
      </c>
      <c r="K52" s="12">
        <v>0.11493752704995519</v>
      </c>
      <c r="L52" s="7">
        <f t="shared" si="14"/>
        <v>-6.1143198388069059E-3</v>
      </c>
      <c r="M52" s="66"/>
    </row>
    <row r="53" spans="2:13" x14ac:dyDescent="0.35">
      <c r="B53" s="5" t="s">
        <v>16</v>
      </c>
      <c r="C53" s="12">
        <f>C51-C52</f>
        <v>-1.9400000000000001E-2</v>
      </c>
      <c r="D53" s="12">
        <f>D51-D52</f>
        <v>-7.886579119707568E-3</v>
      </c>
      <c r="E53" s="12">
        <f>E51-E52</f>
        <v>1.4700000000000005E-2</v>
      </c>
      <c r="F53" s="12">
        <v>1.9556711587843514E-2</v>
      </c>
      <c r="G53" s="12">
        <v>4.8753122495858864E-3</v>
      </c>
      <c r="H53" s="7">
        <f t="shared" si="8"/>
        <v>-1.4681399338257628E-2</v>
      </c>
      <c r="J53" s="12">
        <v>2.3481531112378995E-3</v>
      </c>
      <c r="K53" s="12">
        <v>2.4270285729107166E-3</v>
      </c>
      <c r="L53" s="7">
        <f t="shared" si="14"/>
        <v>7.8875461672817115E-5</v>
      </c>
      <c r="M53" s="66"/>
    </row>
    <row r="54" spans="2:13" x14ac:dyDescent="0.35">
      <c r="B54" s="5" t="s">
        <v>57</v>
      </c>
      <c r="C54" s="16">
        <v>14.9</v>
      </c>
      <c r="D54" s="16">
        <v>15.7</v>
      </c>
      <c r="E54" s="16">
        <v>16.3</v>
      </c>
      <c r="F54" s="16">
        <v>17.2</v>
      </c>
      <c r="G54" s="16">
        <v>17.399999999999999</v>
      </c>
      <c r="H54" s="16">
        <f t="shared" si="8"/>
        <v>0.19999999999999929</v>
      </c>
      <c r="J54" s="16">
        <v>13.3</v>
      </c>
      <c r="K54" s="16">
        <v>13.402303628003928</v>
      </c>
      <c r="L54" s="16">
        <f t="shared" si="14"/>
        <v>0.10230362800392712</v>
      </c>
      <c r="M54" s="66"/>
    </row>
    <row r="55" spans="2:13" x14ac:dyDescent="0.35">
      <c r="B55" s="44" t="s">
        <v>12</v>
      </c>
      <c r="C55" s="69"/>
      <c r="D55" s="69"/>
      <c r="E55" s="69"/>
      <c r="F55" s="69"/>
      <c r="G55" s="69"/>
      <c r="H55" s="69"/>
      <c r="I55" s="67"/>
      <c r="J55" s="69"/>
      <c r="K55" s="69"/>
      <c r="L55" s="69"/>
      <c r="M55" s="66"/>
    </row>
    <row r="56" spans="2:13" x14ac:dyDescent="0.35">
      <c r="B56" s="24" t="s">
        <v>53</v>
      </c>
      <c r="C56" s="25">
        <v>207106</v>
      </c>
      <c r="D56" s="25">
        <v>211378</v>
      </c>
      <c r="E56" s="25">
        <v>217853</v>
      </c>
      <c r="F56" s="25">
        <v>219920</v>
      </c>
      <c r="G56" s="25">
        <v>226708</v>
      </c>
      <c r="H56" s="25">
        <f t="shared" si="8"/>
        <v>6788</v>
      </c>
      <c r="J56" s="64">
        <v>222740.5</v>
      </c>
      <c r="K56" s="64">
        <v>229752.04</v>
      </c>
      <c r="L56" s="25">
        <f t="shared" ref="L56:L57" si="15">K56-J56</f>
        <v>7011.5400000000081</v>
      </c>
      <c r="M56" s="66"/>
    </row>
    <row r="57" spans="2:13" x14ac:dyDescent="0.35">
      <c r="B57" s="24" t="s">
        <v>54</v>
      </c>
      <c r="C57" s="28">
        <v>9.9</v>
      </c>
      <c r="D57" s="28">
        <v>10.199999999999999</v>
      </c>
      <c r="E57" s="28">
        <v>10.5</v>
      </c>
      <c r="F57" s="28">
        <v>10.9</v>
      </c>
      <c r="G57" s="28">
        <v>10.9</v>
      </c>
      <c r="H57" s="28">
        <f t="shared" si="8"/>
        <v>0</v>
      </c>
      <c r="J57" s="28">
        <v>11.122631999999999</v>
      </c>
      <c r="K57" s="28">
        <v>11.175859000000001</v>
      </c>
      <c r="L57" s="28">
        <f t="shared" si="15"/>
        <v>5.3227000000001468E-2</v>
      </c>
      <c r="M57" s="66"/>
    </row>
    <row r="58" spans="2:13" x14ac:dyDescent="0.35">
      <c r="C58" s="41"/>
      <c r="D58" s="41"/>
      <c r="E58" s="41"/>
      <c r="M58" s="66"/>
    </row>
  </sheetData>
  <pageMargins left="0.7" right="0.7" top="0.75" bottom="0.75" header="0.3" footer="0.3"/>
  <pageSetup paperSize="9" scale="58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FactSheet_Cons</vt:lpstr>
      <vt:lpstr>FactSheet _Retail</vt:lpstr>
      <vt:lpstr>FactSheet_Disco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keywords>Hizmete Özel</cp:keywords>
  <cp:lastModifiedBy>Ilkay DEMIRDAG</cp:lastModifiedBy>
  <cp:lastPrinted>2019-07-29T09:34:18Z</cp:lastPrinted>
  <dcterms:created xsi:type="dcterms:W3CDTF">2017-09-20T15:45:50Z</dcterms:created>
  <dcterms:modified xsi:type="dcterms:W3CDTF">2019-11-04T09:42:49Z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TitusGUID">
    <vt:lpwstr>c5b1559e-ba81-4b8c-8498-6ea5d2e74208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LASSIFICATION">
    <vt:lpwstr>I4886p293727nO8</vt:lpwstr>
  </property>
</Properties>
</file>