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0\20Feb\Fact Sheet\"/>
    </mc:Choice>
  </mc:AlternateContent>
  <bookViews>
    <workbookView xWindow="0" yWindow="0" windowWidth="9945" windowHeight="7170" firstSheet="3" activeTab="5"/>
  </bookViews>
  <sheets>
    <sheet name="Group PLs" sheetId="21" state="hidden" r:id="rId1"/>
    <sheet name="Group CFs" sheetId="22" state="hidden" r:id="rId2"/>
    <sheet name="Group BS" sheetId="23" state="hidden" r:id="rId3"/>
    <sheet name="FactSheet_Cons" sheetId="28" r:id="rId4"/>
    <sheet name="FactSheet _Retail" sheetId="29" r:id="rId5"/>
    <sheet name="FactSheet_Disco" sheetId="30" r:id="rId6"/>
    <sheet name="Check" sheetId="41" state="hidden" r:id="rId7"/>
    <sheet name="Finex" sheetId="40" state="hidden" r:id="rId8"/>
    <sheet name="PL" sheetId="27" state="hidden" r:id="rId9"/>
    <sheet name="KPIs" sheetId="37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new2" hidden="1">0</definedName>
    <definedName name="__123Graph_A" localSheetId="4" hidden="1">[1]TABLO!#REF!</definedName>
    <definedName name="__123Graph_A" localSheetId="3" hidden="1">[1]TABLO!#REF!</definedName>
    <definedName name="__123Graph_A" hidden="1">[1]TABLO!#REF!</definedName>
    <definedName name="__123Graph_ARISK" localSheetId="4" hidden="1">#REF!</definedName>
    <definedName name="__123Graph_ARISK" localSheetId="3" hidden="1">#REF!</definedName>
    <definedName name="__123Graph_ARISK" hidden="1">#REF!</definedName>
    <definedName name="__123Graph_B" localSheetId="4" hidden="1">[2]FONKON2005!#REF!</definedName>
    <definedName name="__123Graph_B" localSheetId="3" hidden="1">[2]FONKON2005!#REF!</definedName>
    <definedName name="__123Graph_B" hidden="1">[2]FONKON2005!#REF!</definedName>
    <definedName name="__123Graph_BRISK" localSheetId="4" hidden="1">#REF!</definedName>
    <definedName name="__123Graph_BRISK" localSheetId="3" hidden="1">#REF!</definedName>
    <definedName name="__123Graph_BRISK" hidden="1">#REF!</definedName>
    <definedName name="__123Graph_C" localSheetId="4" hidden="1">[2]FONKON2005!#REF!</definedName>
    <definedName name="__123Graph_C" localSheetId="3" hidden="1">[2]FONKON2005!#REF!</definedName>
    <definedName name="__123Graph_C" hidden="1">[2]FONKON2005!#REF!</definedName>
    <definedName name="__123Graph_D" localSheetId="4" hidden="1">[2]FONKON2005!#REF!</definedName>
    <definedName name="__123Graph_D" localSheetId="3" hidden="1">[2]FONKON2005!#REF!</definedName>
    <definedName name="__123Graph_D" hidden="1">[2]FONKON2005!#REF!</definedName>
    <definedName name="__123Graph_E" localSheetId="4" hidden="1">[2]FONKON2005!#REF!</definedName>
    <definedName name="__123Graph_E" localSheetId="3" hidden="1">[2]FONKON2005!#REF!</definedName>
    <definedName name="__123Graph_E" hidden="1">[2]FONKON2005!#REF!</definedName>
    <definedName name="__123Graph_F" localSheetId="4" hidden="1">[2]FONKON2005!#REF!</definedName>
    <definedName name="__123Graph_F" localSheetId="3" hidden="1">[2]FONKON2005!#REF!</definedName>
    <definedName name="__123Graph_F" hidden="1">[2]FONKON2005!#REF!</definedName>
    <definedName name="__123Graph_X" localSheetId="4" hidden="1">[2]FONKON2005!#REF!</definedName>
    <definedName name="__123Graph_X" localSheetId="3" hidden="1">[2]FONKON2005!#REF!</definedName>
    <definedName name="__123Graph_X" hidden="1">[2]FONKON2005!#REF!</definedName>
    <definedName name="__new2" hidden="1">0</definedName>
    <definedName name="_1_________________________0_S" localSheetId="4" hidden="1">[3]SEMANAIS!#REF!</definedName>
    <definedName name="_1_________________________0_S" localSheetId="3" hidden="1">[3]SEMANAIS!#REF!</definedName>
    <definedName name="_1_________________________0_S" hidden="1">[3]SEMANAIS!#REF!</definedName>
    <definedName name="_10____0_S" localSheetId="4" hidden="1">[3]SEMANAIS!#REF!</definedName>
    <definedName name="_10____0_S" localSheetId="3" hidden="1">[3]SEMANAIS!#REF!</definedName>
    <definedName name="_10____0_S" hidden="1">[3]SEMANAIS!#REF!</definedName>
    <definedName name="_11___0_S" localSheetId="4" hidden="1">[3]SEMANAIS!#REF!</definedName>
    <definedName name="_11___0_S" localSheetId="3" hidden="1">[3]SEMANAIS!#REF!</definedName>
    <definedName name="_11___0_S" hidden="1">[3]SEMANAIS!#REF!</definedName>
    <definedName name="_12_0_S" localSheetId="4" hidden="1">[3]SEMANAIS!#REF!</definedName>
    <definedName name="_12_0_S" localSheetId="3" hidden="1">[3]SEMANAIS!#REF!</definedName>
    <definedName name="_12_0_S" hidden="1">[3]SEMANAIS!#REF!</definedName>
    <definedName name="_2________________________0_S" localSheetId="4" hidden="1">[3]SEMANAIS!#REF!</definedName>
    <definedName name="_2________________________0_S" localSheetId="3" hidden="1">[3]SEMANAIS!#REF!</definedName>
    <definedName name="_2________________________0_S" hidden="1">[3]SEMANAIS!#REF!</definedName>
    <definedName name="_2S" localSheetId="4" hidden="1">[3]SEMANAIS!#REF!</definedName>
    <definedName name="_2S" localSheetId="3" hidden="1">[3]SEMANAIS!#REF!</definedName>
    <definedName name="_2S" hidden="1">[3]SEMANAIS!#REF!</definedName>
    <definedName name="_3_______________________0_S" localSheetId="4" hidden="1">[3]SEMANAIS!#REF!</definedName>
    <definedName name="_3_______________________0_S" localSheetId="3" hidden="1">[3]SEMANAIS!#REF!</definedName>
    <definedName name="_3_______________________0_S" hidden="1">[3]SEMANAIS!#REF!</definedName>
    <definedName name="_4______________________0_S" localSheetId="4" hidden="1">[3]SEMANAIS!#REF!</definedName>
    <definedName name="_4______________________0_S" localSheetId="3" hidden="1">[3]SEMANAIS!#REF!</definedName>
    <definedName name="_4______________________0_S" hidden="1">[3]SEMANAIS!#REF!</definedName>
    <definedName name="_5_____________________0_S" localSheetId="4" hidden="1">[3]SEMANAIS!#REF!</definedName>
    <definedName name="_5_____________________0_S" localSheetId="3" hidden="1">[3]SEMANAIS!#REF!</definedName>
    <definedName name="_5_____________________0_S" hidden="1">[3]SEMANAIS!#REF!</definedName>
    <definedName name="_6____________________0_S" localSheetId="4" hidden="1">[3]SEMANAIS!#REF!</definedName>
    <definedName name="_6____________________0_S" localSheetId="3" hidden="1">[3]SEMANAIS!#REF!</definedName>
    <definedName name="_6____________________0_S" hidden="1">[3]SEMANAIS!#REF!</definedName>
    <definedName name="_7___________________0_S" localSheetId="4" hidden="1">[3]SEMANAIS!#REF!</definedName>
    <definedName name="_7___________________0_S" localSheetId="3" hidden="1">[3]SEMANAIS!#REF!</definedName>
    <definedName name="_7___________________0_S" hidden="1">[3]SEMANAIS!#REF!</definedName>
    <definedName name="_8__________________0_S" localSheetId="4" hidden="1">[3]SEMANAIS!#REF!</definedName>
    <definedName name="_8__________________0_S" localSheetId="3" hidden="1">[3]SEMANAIS!#REF!</definedName>
    <definedName name="_8__________________0_S" hidden="1">[3]SEMANAIS!#REF!</definedName>
    <definedName name="_9_____0_S" localSheetId="4" hidden="1">[3]SEMANAIS!#REF!</definedName>
    <definedName name="_9_____0_S" localSheetId="3" hidden="1">[3]SEMANAIS!#REF!</definedName>
    <definedName name="_9_____0_S" hidden="1">[3]SEMANAIS!#REF!</definedName>
    <definedName name="_AtRisk_FitDataRange_FIT_40D80_80F43" localSheetId="4" hidden="1">[4]RD_Hydro_RunOfRiver!#REF!</definedName>
    <definedName name="_AtRisk_FitDataRange_FIT_40D80_80F43" localSheetId="3" hidden="1">[4]RD_Hydro_RunOfRiver!#REF!</definedName>
    <definedName name="_AtRisk_FitDataRange_FIT_40D80_80F43" hidden="1">[4]RD_Hydro_RunOfRiver!#REF!</definedName>
    <definedName name="_AtRisk_FitDataRange_FIT_7BE51_C172" localSheetId="4" hidden="1">#REF!</definedName>
    <definedName name="_AtRisk_FitDataRange_FIT_7BE51_C172" localSheetId="3" hidden="1">#REF!</definedName>
    <definedName name="_AtRisk_FitDataRange_FIT_7BE51_C172" hidden="1">#REF!</definedName>
    <definedName name="_AtRisk_FitDataRange_FIT_A9C82_40FC4" localSheetId="4" hidden="1">#REF!</definedName>
    <definedName name="_AtRisk_FitDataRange_FIT_A9C82_40FC4" localSheetId="3" hidden="1">#REF!</definedName>
    <definedName name="_AtRisk_FitDataRange_FIT_A9C82_40FC4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4" hidden="1">#REF!</definedName>
    <definedName name="_Dist_Bin" localSheetId="3" hidden="1">#REF!</definedName>
    <definedName name="_Dist_Bin" hidden="1">#REF!</definedName>
    <definedName name="_Dist_Values" localSheetId="4" hidden="1">#REF!</definedName>
    <definedName name="_Dist_Values" localSheetId="3" hidden="1">#REF!</definedName>
    <definedName name="_Dist_Values" hidden="1">#REF!</definedName>
    <definedName name="_Fill" localSheetId="4" hidden="1">#REF!</definedName>
    <definedName name="_Fill" localSheetId="3" hidden="1">#REF!</definedName>
    <definedName name="_Fill" hidden="1">#REF!</definedName>
    <definedName name="_Key1" localSheetId="4" hidden="1">#REF!</definedName>
    <definedName name="_Key1" localSheetId="3" hidden="1">#REF!</definedName>
    <definedName name="_Key1" hidden="1">#REF!</definedName>
    <definedName name="_Key2" localSheetId="4" hidden="1">#REF!</definedName>
    <definedName name="_Key2" localSheetId="3" hidden="1">#REF!</definedName>
    <definedName name="_Key2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4" hidden="1">#REF!</definedName>
    <definedName name="_Sort" localSheetId="3" hidden="1">#REF!</definedName>
    <definedName name="_Sort" hidden="1">#REF!</definedName>
    <definedName name="_xlnm._FilterDatabase" hidden="1">[5]INVESTISSEMENTS!$A$2:$L$113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4" hidden="1">#REF!</definedName>
    <definedName name="Code" localSheetId="3" hidden="1">#REF!</definedName>
    <definedName name="Code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4" hidden="1">#REF!</definedName>
    <definedName name="data2" localSheetId="3" hidden="1">#REF!</definedName>
    <definedName name="data2" hidden="1">#REF!</definedName>
    <definedName name="data3" localSheetId="4" hidden="1">#REF!</definedName>
    <definedName name="data3" localSheetId="3" hidden="1">#REF!</definedName>
    <definedName name="data3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4" hidden="1">#REF!</definedName>
    <definedName name="Discount" localSheetId="3" hidden="1">#REF!</definedName>
    <definedName name="Discount" hidden="1">#REF!</definedName>
    <definedName name="display_area_2" localSheetId="4" hidden="1">#REF!</definedName>
    <definedName name="display_area_2" localSheetId="3" hidden="1">#REF!</definedName>
    <definedName name="display_area_2" hidden="1">#REF!</definedName>
    <definedName name="disposal2005" localSheetId="4" hidden="1">Main.SAPF4Help()</definedName>
    <definedName name="disposal2005" localSheetId="3" hidden="1">Main.SAPF4Help()</definedName>
    <definedName name="disposal2005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4" hidden="1">#REF!</definedName>
    <definedName name="et4rtretg" localSheetId="3" hidden="1">#REF!</definedName>
    <definedName name="et4rtretg" hidden="1">#REF!</definedName>
    <definedName name="etrt" localSheetId="4" hidden="1">#REF!</definedName>
    <definedName name="etrt" localSheetId="3" hidden="1">#REF!</definedName>
    <definedName name="etrt" hidden="1">#REF!</definedName>
    <definedName name="etter" localSheetId="4" hidden="1">#REF!</definedName>
    <definedName name="etter" localSheetId="3" hidden="1">#REF!</definedName>
    <definedName name="etter" hidden="1">#REF!</definedName>
    <definedName name="FCode" localSheetId="4" hidden="1">#REF!</definedName>
    <definedName name="FCode" localSheetId="3" hidden="1">#REF!</definedName>
    <definedName name="FCode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4" hidden="1">#REF!</definedName>
    <definedName name="HiddenRows" localSheetId="3" hidden="1">#REF!</definedName>
    <definedName name="HiddenRows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4" hidden="1">Main.SAPF4Help()</definedName>
    <definedName name="INDEXX" localSheetId="3" hidden="1">Main.SAPF4Help()</definedName>
    <definedName name="INDEXX" hidden="1">Main.SAPF4Help()</definedName>
    <definedName name="IQ_ADDIN" hidden="1">"AUTO"</definedName>
    <definedName name="KH" localSheetId="4" hidden="1">Main.SAPF4Help()</definedName>
    <definedName name="KH" localSheetId="3" hidden="1">Main.SAPF4Help()</definedName>
    <definedName name="KH" hidden="1">Main.SAPF4Help()</definedName>
    <definedName name="lşiiş" localSheetId="4" hidden="1">#REF!</definedName>
    <definedName name="lşiiş" localSheetId="3" hidden="1">#REF!</definedName>
    <definedName name="lşiiş" hidden="1">#REF!</definedName>
    <definedName name="lşilş" localSheetId="4" hidden="1">#REF!</definedName>
    <definedName name="lşilş" localSheetId="3" hidden="1">#REF!</definedName>
    <definedName name="lşilş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4" hidden="1">#REF!</definedName>
    <definedName name="OrderTable" localSheetId="3" hidden="1">#REF!</definedName>
    <definedName name="OrderTable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4" hidden="1">#REF!</definedName>
    <definedName name="ProdForm" localSheetId="3" hidden="1">#REF!</definedName>
    <definedName name="ProdForm" hidden="1">#REF!</definedName>
    <definedName name="Product" localSheetId="4" hidden="1">#REF!</definedName>
    <definedName name="Product" localSheetId="3" hidden="1">#REF!</definedName>
    <definedName name="Product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4" hidden="1">#REF!</definedName>
    <definedName name="RCArea" localSheetId="3" hidden="1">#REF!</definedName>
    <definedName name="RCArea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4" hidden="1">#REF!</definedName>
    <definedName name="rr" localSheetId="3" hidden="1">#REF!</definedName>
    <definedName name="rr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4" hidden="1">Main.SAPF4Help()</definedName>
    <definedName name="SAPFuncF4Help" localSheetId="3" hidden="1">Main.SAPF4Help()</definedName>
    <definedName name="SAPFuncF4Help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4" hidden="1">#REF!</definedName>
    <definedName name="SIG_CONTROLE" localSheetId="3" hidden="1">#REF!</definedName>
    <definedName name="SIG_CONTROLE" hidden="1">#REF!</definedName>
    <definedName name="SIG_YCPATB3_H0069" localSheetId="4" hidden="1">#REF!</definedName>
    <definedName name="SIG_YCPATB3_H0069" localSheetId="3" hidden="1">#REF!</definedName>
    <definedName name="SIG_YCPATB3_H0069" hidden="1">#REF!</definedName>
    <definedName name="SIG_YCPATB3_H0070" localSheetId="4" hidden="1">#REF!</definedName>
    <definedName name="SIG_YCPATB3_H0070" localSheetId="3" hidden="1">#REF!</definedName>
    <definedName name="SIG_YCPATB3_H0070" hidden="1">#REF!</definedName>
    <definedName name="SIG_YCPATB3_H0071" localSheetId="4" hidden="1">#REF!</definedName>
    <definedName name="SIG_YCPATB3_H0071" localSheetId="3" hidden="1">#REF!</definedName>
    <definedName name="SIG_YCPATB3_H0071" hidden="1">#REF!</definedName>
    <definedName name="SIG_YCPATB3_H0072" localSheetId="4" hidden="1">#REF!</definedName>
    <definedName name="SIG_YCPATB3_H0072" localSheetId="3" hidden="1">#REF!</definedName>
    <definedName name="SIG_YCPATB3_H0072" hidden="1">#REF!</definedName>
    <definedName name="SIG_YCPATB3_H0073" localSheetId="4" hidden="1">#REF!</definedName>
    <definedName name="SIG_YCPATB3_H0073" localSheetId="3" hidden="1">#REF!</definedName>
    <definedName name="SIG_YCPATB3_H0073" hidden="1">#REF!</definedName>
    <definedName name="SIG_YCPATB3_H0074" localSheetId="4" hidden="1">#REF!</definedName>
    <definedName name="SIG_YCPATB3_H0074" localSheetId="3" hidden="1">#REF!</definedName>
    <definedName name="SIG_YCPATB3_H0074" hidden="1">#REF!</definedName>
    <definedName name="SIG_YCPATB3_H0075" localSheetId="4" hidden="1">#REF!</definedName>
    <definedName name="SIG_YCPATB3_H0075" localSheetId="3" hidden="1">#REF!</definedName>
    <definedName name="SIG_YCPATB3_H0075" hidden="1">#REF!</definedName>
    <definedName name="SIG_YCPATB3_H0076" localSheetId="4" hidden="1">#REF!</definedName>
    <definedName name="SIG_YCPATB3_H0076" localSheetId="3" hidden="1">#REF!</definedName>
    <definedName name="SIG_YCPATB3_H0076" hidden="1">#REF!</definedName>
    <definedName name="SIG_YCPATB3_H0077" localSheetId="4" hidden="1">#REF!</definedName>
    <definedName name="SIG_YCPATB3_H0077" localSheetId="3" hidden="1">#REF!</definedName>
    <definedName name="SIG_YCPATB3_H0077" hidden="1">#REF!</definedName>
    <definedName name="SIG_YCPATB3_H0078" localSheetId="4" hidden="1">#REF!</definedName>
    <definedName name="SIG_YCPATB3_H0078" localSheetId="3" hidden="1">#REF!</definedName>
    <definedName name="SIG_YCPATB3_H0078" hidden="1">#REF!</definedName>
    <definedName name="SIG_YCPATB3_H0079" localSheetId="4" hidden="1">#REF!</definedName>
    <definedName name="SIG_YCPATB3_H0079" localSheetId="3" hidden="1">#REF!</definedName>
    <definedName name="SIG_YCPATB3_H0079" hidden="1">#REF!</definedName>
    <definedName name="SIG_YCPATB3_H0080" localSheetId="4" hidden="1">#REF!</definedName>
    <definedName name="SIG_YCPATB3_H0080" localSheetId="3" hidden="1">#REF!</definedName>
    <definedName name="SIG_YCPATB3_H0080" hidden="1">#REF!</definedName>
    <definedName name="SIG_YCPATB3_H0081" localSheetId="4" hidden="1">#REF!</definedName>
    <definedName name="SIG_YCPATB3_H0081" localSheetId="3" hidden="1">#REF!</definedName>
    <definedName name="SIG_YCPATB3_H0081" hidden="1">#REF!</definedName>
    <definedName name="SIG_YCPATB3_H0082" localSheetId="4" hidden="1">#REF!</definedName>
    <definedName name="SIG_YCPATB3_H0082" localSheetId="3" hidden="1">#REF!</definedName>
    <definedName name="SIG_YCPATB3_H0082" hidden="1">#REF!</definedName>
    <definedName name="SIG_YCPATB3_H0083" localSheetId="4" hidden="1">#REF!</definedName>
    <definedName name="SIG_YCPATB3_H0083" localSheetId="3" hidden="1">#REF!</definedName>
    <definedName name="SIG_YCPATB3_H0083" hidden="1">#REF!</definedName>
    <definedName name="SIG_YCPATB3_H0084" localSheetId="4" hidden="1">#REF!</definedName>
    <definedName name="SIG_YCPATB3_H0084" localSheetId="3" hidden="1">#REF!</definedName>
    <definedName name="SIG_YCPATB3_H0084" hidden="1">#REF!</definedName>
    <definedName name="SpecialPrice" localSheetId="4" hidden="1">#REF!</definedName>
    <definedName name="SpecialPrice" localSheetId="3" hidden="1">#REF!</definedName>
    <definedName name="SpecialPrice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4" hidden="1">#REF!</definedName>
    <definedName name="tbl_ProdInfo" localSheetId="3" hidden="1">#REF!</definedName>
    <definedName name="tbl_ProdInfo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62913"/>
</workbook>
</file>

<file path=xl/calcChain.xml><?xml version="1.0" encoding="utf-8"?>
<calcChain xmlns="http://schemas.openxmlformats.org/spreadsheetml/2006/main">
  <c r="I4" i="29" l="1"/>
  <c r="I5" i="29"/>
  <c r="I6" i="29"/>
  <c r="I7" i="29"/>
  <c r="I8" i="29"/>
  <c r="I9" i="29"/>
  <c r="I10" i="29"/>
  <c r="I11" i="29"/>
  <c r="I12" i="29"/>
  <c r="I14" i="29"/>
  <c r="I15" i="29"/>
  <c r="I16" i="29"/>
  <c r="I18" i="29"/>
  <c r="I23" i="29"/>
  <c r="I24" i="29"/>
  <c r="I25" i="29"/>
  <c r="I26" i="29"/>
  <c r="I27" i="29"/>
  <c r="I28" i="29"/>
  <c r="I29" i="29"/>
  <c r="I30" i="29"/>
  <c r="I31" i="29"/>
  <c r="I34" i="29"/>
  <c r="I35" i="29"/>
  <c r="I17" i="29" l="1"/>
  <c r="I19" i="29"/>
  <c r="I13" i="29"/>
  <c r="I59" i="28" l="1"/>
  <c r="I58" i="28"/>
  <c r="I57" i="28"/>
  <c r="I56" i="28"/>
  <c r="I55" i="28"/>
  <c r="I52" i="28"/>
  <c r="I51" i="28"/>
  <c r="I49" i="28"/>
  <c r="L51" i="41" l="1"/>
  <c r="K51" i="41"/>
  <c r="I51" i="41"/>
  <c r="L50" i="41"/>
  <c r="L49" i="41"/>
  <c r="K49" i="41"/>
  <c r="L47" i="41"/>
  <c r="K47" i="41"/>
  <c r="L45" i="41"/>
  <c r="K45" i="41"/>
  <c r="L44" i="41"/>
  <c r="J44" i="41"/>
  <c r="L43" i="41"/>
  <c r="K43" i="41"/>
  <c r="L42" i="41"/>
  <c r="K42" i="41"/>
  <c r="J42" i="41"/>
  <c r="I42" i="41"/>
  <c r="K41" i="41"/>
  <c r="J41" i="41"/>
  <c r="F51" i="41"/>
  <c r="E51" i="41"/>
  <c r="C51" i="41"/>
  <c r="F50" i="41"/>
  <c r="E50" i="41"/>
  <c r="D50" i="41"/>
  <c r="C50" i="41"/>
  <c r="F49" i="41"/>
  <c r="E49" i="41"/>
  <c r="F47" i="41"/>
  <c r="E47" i="41"/>
  <c r="F45" i="41"/>
  <c r="E45" i="41"/>
  <c r="F44" i="41"/>
  <c r="D44" i="41"/>
  <c r="F43" i="41"/>
  <c r="E43" i="41"/>
  <c r="F42" i="41"/>
  <c r="E42" i="41"/>
  <c r="D42" i="41"/>
  <c r="C42" i="41"/>
  <c r="F41" i="41"/>
  <c r="E41" i="41"/>
  <c r="D41" i="41"/>
  <c r="C41" i="41"/>
  <c r="M16" i="41"/>
  <c r="L40" i="41"/>
  <c r="J40" i="41"/>
  <c r="G42" i="41" l="1"/>
  <c r="G41" i="41"/>
  <c r="M42" i="41"/>
  <c r="G50" i="41"/>
  <c r="J50" i="41"/>
  <c r="K40" i="41" l="1"/>
  <c r="I50" i="41" l="1"/>
  <c r="K24" i="41"/>
  <c r="K50" i="41" s="1"/>
  <c r="M50" i="41" l="1"/>
  <c r="J25" i="41"/>
  <c r="M24" i="41"/>
  <c r="I41" i="41"/>
  <c r="D25" i="41"/>
  <c r="G24" i="41"/>
  <c r="F40" i="41"/>
  <c r="D40" i="41"/>
  <c r="E40" i="41"/>
  <c r="M25" i="41" l="1"/>
  <c r="J51" i="41"/>
  <c r="M51" i="41" s="1"/>
  <c r="G25" i="41"/>
  <c r="D51" i="41"/>
  <c r="G51" i="41" s="1"/>
  <c r="L15" i="41"/>
  <c r="L41" i="41" l="1"/>
  <c r="M15" i="41"/>
  <c r="M41" i="41" l="1"/>
  <c r="G16" i="41"/>
  <c r="G15" i="41"/>
  <c r="I34" i="30" l="1"/>
  <c r="J23" i="40" l="1"/>
  <c r="J22" i="40"/>
  <c r="J21" i="40"/>
  <c r="H48" i="30" l="1"/>
  <c r="H43" i="30"/>
  <c r="H53" i="30"/>
  <c r="H6" i="30" l="1"/>
  <c r="H24" i="30" l="1"/>
  <c r="G23" i="37" l="1"/>
  <c r="F23" i="37"/>
  <c r="E23" i="37"/>
  <c r="D23" i="37"/>
  <c r="G17" i="37"/>
  <c r="F17" i="37"/>
  <c r="E17" i="37"/>
  <c r="D17" i="37"/>
  <c r="J26" i="27" l="1"/>
  <c r="J13" i="27"/>
  <c r="J15" i="27" s="1"/>
  <c r="J19" i="27" s="1"/>
  <c r="H26" i="27"/>
  <c r="H13" i="27"/>
  <c r="H15" i="27" s="1"/>
  <c r="H19" i="27" s="1"/>
  <c r="F26" i="27"/>
  <c r="F13" i="27"/>
  <c r="F15" i="27" s="1"/>
  <c r="F19" i="27" s="1"/>
  <c r="D26" i="27"/>
  <c r="I56" i="30" l="1"/>
  <c r="I32" i="30" l="1"/>
  <c r="F28" i="28" l="1"/>
  <c r="I23" i="41" l="1"/>
  <c r="I49" i="41" l="1"/>
  <c r="J23" i="41"/>
  <c r="M23" i="41" s="1"/>
  <c r="I19" i="28"/>
  <c r="I20" i="28"/>
  <c r="I11" i="28"/>
  <c r="J49" i="41" l="1"/>
  <c r="I46" i="30"/>
  <c r="I52" i="30"/>
  <c r="I47" i="30"/>
  <c r="I57" i="30"/>
  <c r="I41" i="30"/>
  <c r="I54" i="30"/>
  <c r="I51" i="30"/>
  <c r="I42" i="30"/>
  <c r="I44" i="30"/>
  <c r="I49" i="30"/>
  <c r="I36" i="30"/>
  <c r="M49" i="41" l="1"/>
  <c r="I17" i="30" l="1"/>
  <c r="I21" i="28"/>
  <c r="I12" i="30"/>
  <c r="I9" i="30"/>
  <c r="I20" i="30"/>
  <c r="I4" i="30"/>
  <c r="I8" i="30"/>
  <c r="I22" i="30"/>
  <c r="I11" i="30"/>
  <c r="I5" i="30"/>
  <c r="I23" i="30"/>
  <c r="I7" i="30"/>
  <c r="I15" i="30"/>
  <c r="I10" i="30"/>
  <c r="I41" i="28" l="1"/>
  <c r="G28" i="28"/>
  <c r="G26" i="28" l="1"/>
  <c r="I40" i="28" l="1"/>
  <c r="I31" i="30" l="1"/>
  <c r="I16" i="30"/>
  <c r="G48" i="30"/>
  <c r="G6" i="30"/>
  <c r="G53" i="30"/>
  <c r="G43" i="30"/>
  <c r="I39" i="28" l="1"/>
  <c r="I38" i="28"/>
  <c r="I43" i="30"/>
  <c r="I48" i="30"/>
  <c r="I53" i="30"/>
  <c r="I21" i="30"/>
  <c r="I6" i="30"/>
  <c r="G24" i="30"/>
  <c r="G14" i="30"/>
  <c r="I24" i="30" l="1"/>
  <c r="I18" i="30"/>
  <c r="I30" i="30" l="1"/>
  <c r="I38" i="30" l="1"/>
  <c r="G39" i="30"/>
  <c r="E53" i="30" l="1"/>
  <c r="D53" i="30"/>
  <c r="C53" i="30"/>
  <c r="E48" i="30"/>
  <c r="D48" i="30"/>
  <c r="C48" i="30"/>
  <c r="E43" i="30"/>
  <c r="D43" i="30"/>
  <c r="C43" i="30"/>
  <c r="F39" i="30"/>
  <c r="E39" i="30"/>
  <c r="D39" i="30"/>
  <c r="C39" i="30"/>
  <c r="F33" i="30"/>
  <c r="E33" i="30"/>
  <c r="D33" i="30"/>
  <c r="C33" i="30"/>
  <c r="F24" i="30"/>
  <c r="E24" i="30"/>
  <c r="D24" i="30"/>
  <c r="C24" i="30"/>
  <c r="F6" i="30"/>
  <c r="E6" i="30"/>
  <c r="D6" i="30"/>
  <c r="C6" i="30"/>
  <c r="F50" i="28"/>
  <c r="E50" i="28"/>
  <c r="D50" i="28"/>
  <c r="C50" i="28"/>
  <c r="E27" i="28"/>
  <c r="D27" i="28"/>
  <c r="C27" i="28"/>
  <c r="F25" i="28"/>
  <c r="E25" i="28"/>
  <c r="D25" i="28"/>
  <c r="C25" i="28"/>
  <c r="C24" i="28"/>
  <c r="C18" i="28"/>
  <c r="F16" i="28"/>
  <c r="E6" i="28"/>
  <c r="D6" i="28"/>
  <c r="C6" i="28"/>
  <c r="C28" i="28" l="1"/>
  <c r="D28" i="28"/>
  <c r="E28" i="28"/>
  <c r="D9" i="28"/>
  <c r="D53" i="28"/>
  <c r="C14" i="30"/>
  <c r="E53" i="28"/>
  <c r="D14" i="30"/>
  <c r="E19" i="30"/>
  <c r="C9" i="28"/>
  <c r="C22" i="28"/>
  <c r="C53" i="28"/>
  <c r="F53" i="28"/>
  <c r="F24" i="28"/>
  <c r="F19" i="30"/>
  <c r="F18" i="28"/>
  <c r="E9" i="28"/>
  <c r="C37" i="28" l="1"/>
  <c r="C60" i="28"/>
  <c r="E25" i="30"/>
  <c r="C19" i="30"/>
  <c r="D19" i="30"/>
  <c r="D16" i="28"/>
  <c r="F37" i="28"/>
  <c r="F22" i="28"/>
  <c r="F25" i="30"/>
  <c r="E16" i="28"/>
  <c r="C42" i="28" l="1"/>
  <c r="D24" i="28"/>
  <c r="D18" i="28"/>
  <c r="C25" i="30"/>
  <c r="D25" i="30"/>
  <c r="F60" i="28"/>
  <c r="F42" i="28"/>
  <c r="E24" i="28"/>
  <c r="E18" i="28"/>
  <c r="D22" i="28" l="1"/>
  <c r="D37" i="28"/>
  <c r="E22" i="28"/>
  <c r="E37" i="28"/>
  <c r="D42" i="28" l="1"/>
  <c r="E42" i="28"/>
  <c r="D60" i="28"/>
  <c r="D13" i="27" l="1"/>
  <c r="D15" i="27" s="1"/>
  <c r="D19" i="27" s="1"/>
  <c r="D41" i="21" l="1"/>
  <c r="D44" i="21" s="1"/>
  <c r="D46" i="21" l="1"/>
  <c r="E21" i="21"/>
  <c r="E46" i="21" l="1"/>
  <c r="J22" i="21" l="1"/>
  <c r="D48" i="21" l="1"/>
  <c r="E13" i="23" l="1"/>
  <c r="E31" i="23" l="1"/>
  <c r="E26" i="23" l="1"/>
  <c r="E35" i="23" l="1"/>
  <c r="E21" i="23" l="1"/>
  <c r="E33" i="23" s="1"/>
  <c r="E8" i="23" l="1"/>
  <c r="E15" i="23" s="1"/>
  <c r="E36" i="22" l="1"/>
  <c r="E34" i="22" l="1"/>
  <c r="E35" i="22" l="1"/>
  <c r="E18" i="22" l="1"/>
  <c r="E21" i="22"/>
  <c r="E32" i="22" l="1"/>
  <c r="D47" i="21" l="1"/>
  <c r="D49" i="21" s="1"/>
  <c r="D52" i="21" s="1"/>
  <c r="D36" i="22" l="1"/>
  <c r="D35" i="22" l="1"/>
  <c r="D18" i="22" l="1"/>
  <c r="D32" i="22"/>
  <c r="D21" i="22" l="1"/>
  <c r="D34" i="22" l="1"/>
  <c r="J16" i="21" l="1"/>
  <c r="J19" i="21" s="1"/>
  <c r="J23" i="21" s="1"/>
  <c r="E48" i="21" l="1"/>
  <c r="I16" i="21" l="1"/>
  <c r="I19" i="21" s="1"/>
  <c r="I22" i="21" l="1"/>
  <c r="I23" i="21" s="1"/>
  <c r="D35" i="23" l="1"/>
  <c r="D26" i="23" l="1"/>
  <c r="D13" i="23" l="1"/>
  <c r="E12" i="21" l="1"/>
  <c r="E14" i="21" l="1"/>
  <c r="E17" i="21" s="1"/>
  <c r="E22" i="21" l="1"/>
  <c r="E7" i="22"/>
  <c r="E10" i="22" s="1"/>
  <c r="E12" i="22" s="1"/>
  <c r="E14" i="22" l="1"/>
  <c r="E22" i="22" s="1"/>
  <c r="E24" i="22" s="1"/>
  <c r="E31" i="22"/>
  <c r="E33" i="22" s="1"/>
  <c r="E37" i="22" l="1"/>
  <c r="E41" i="21" l="1"/>
  <c r="E44" i="21" l="1"/>
  <c r="E47" i="21" s="1"/>
  <c r="E49" i="21" s="1"/>
  <c r="E52" i="21" s="1"/>
  <c r="D8" i="23" l="1"/>
  <c r="D15" i="23" s="1"/>
  <c r="D21" i="23" l="1"/>
  <c r="D12" i="21" l="1"/>
  <c r="D14" i="21" l="1"/>
  <c r="D17" i="21" s="1"/>
  <c r="D22" i="21" l="1"/>
  <c r="D7" i="22"/>
  <c r="D10" i="22" s="1"/>
  <c r="D12" i="22" s="1"/>
  <c r="D31" i="22" l="1"/>
  <c r="D33" i="22" s="1"/>
  <c r="D14" i="22"/>
  <c r="D22" i="22" s="1"/>
  <c r="D24" i="22" s="1"/>
  <c r="D37" i="22" l="1"/>
  <c r="D31" i="23" l="1"/>
  <c r="D33" i="23" s="1"/>
  <c r="G19" i="30" l="1"/>
  <c r="G25" i="30" l="1"/>
  <c r="G33" i="30" l="1"/>
  <c r="I29" i="30" l="1"/>
  <c r="H33" i="30"/>
  <c r="I33" i="30" s="1"/>
  <c r="G25" i="28"/>
  <c r="G6" i="28" l="1"/>
  <c r="G9" i="28" l="1"/>
  <c r="G16" i="28" l="1"/>
  <c r="G24" i="28" l="1"/>
  <c r="G18" i="28"/>
  <c r="G22" i="28" l="1"/>
  <c r="G37" i="28"/>
  <c r="G60" i="28" l="1"/>
  <c r="G42" i="28"/>
  <c r="G50" i="28" l="1"/>
  <c r="G53" i="28" l="1"/>
  <c r="I32" i="28" l="1"/>
  <c r="I30" i="28" l="1"/>
  <c r="E40" i="37" l="1"/>
  <c r="G40" i="37"/>
  <c r="I37" i="30" l="1"/>
  <c r="H39" i="30"/>
  <c r="I39" i="30" s="1"/>
  <c r="I45" i="28" l="1"/>
  <c r="I46" i="28"/>
  <c r="I13" i="30" l="1"/>
  <c r="H14" i="30" l="1"/>
  <c r="H19" i="30" l="1"/>
  <c r="I14" i="30"/>
  <c r="I19" i="30" l="1"/>
  <c r="H25" i="30"/>
  <c r="I25" i="30" l="1"/>
  <c r="L13" i="40" l="1"/>
  <c r="K13" i="40"/>
  <c r="L10" i="40"/>
  <c r="K10" i="40"/>
  <c r="I8" i="28"/>
  <c r="I7" i="28"/>
  <c r="I5" i="28" l="1"/>
  <c r="D23" i="41"/>
  <c r="D49" i="41" s="1"/>
  <c r="C49" i="41"/>
  <c r="G23" i="41"/>
  <c r="C34" i="41"/>
  <c r="I31" i="28"/>
  <c r="I34" i="28"/>
  <c r="C35" i="41"/>
  <c r="K12" i="40" l="1"/>
  <c r="K21" i="40"/>
  <c r="I14" i="28" s="1"/>
  <c r="C44" i="41"/>
  <c r="E18" i="41"/>
  <c r="E44" i="41" s="1"/>
  <c r="D19" i="41"/>
  <c r="D45" i="41" s="1"/>
  <c r="C45" i="41"/>
  <c r="L22" i="40"/>
  <c r="K22" i="40"/>
  <c r="I13" i="28" s="1"/>
  <c r="K8" i="40"/>
  <c r="L23" i="40"/>
  <c r="L14" i="40"/>
  <c r="G49" i="41"/>
  <c r="I43" i="41"/>
  <c r="M43" i="41" s="1"/>
  <c r="J17" i="41"/>
  <c r="J43" i="41" s="1"/>
  <c r="M17" i="41"/>
  <c r="K23" i="40"/>
  <c r="I15" i="28" s="1"/>
  <c r="K14" i="40"/>
  <c r="D21" i="41"/>
  <c r="D47" i="41" s="1"/>
  <c r="C47" i="41"/>
  <c r="I44" i="41"/>
  <c r="K18" i="41"/>
  <c r="I4" i="28"/>
  <c r="H6" i="28"/>
  <c r="C43" i="41"/>
  <c r="D17" i="41"/>
  <c r="D43" i="41" s="1"/>
  <c r="I45" i="41"/>
  <c r="J19" i="41"/>
  <c r="J45" i="41" s="1"/>
  <c r="M45" i="41" s="1"/>
  <c r="I17" i="28"/>
  <c r="L21" i="40"/>
  <c r="L12" i="40"/>
  <c r="G43" i="41" l="1"/>
  <c r="G18" i="41"/>
  <c r="G47" i="41"/>
  <c r="G44" i="41"/>
  <c r="G17" i="41"/>
  <c r="H9" i="28"/>
  <c r="I6" i="28"/>
  <c r="G21" i="41"/>
  <c r="K7" i="40"/>
  <c r="G19" i="41"/>
  <c r="M18" i="41"/>
  <c r="K44" i="41"/>
  <c r="M44" i="41" s="1"/>
  <c r="M19" i="41"/>
  <c r="H25" i="28"/>
  <c r="I25" i="28" s="1"/>
  <c r="I10" i="28"/>
  <c r="I35" i="28"/>
  <c r="G45" i="41"/>
  <c r="I33" i="28"/>
  <c r="H16" i="28" l="1"/>
  <c r="I9" i="28"/>
  <c r="H18" i="28" l="1"/>
  <c r="H24" i="28"/>
  <c r="I16" i="28"/>
  <c r="I29" i="28"/>
  <c r="H28" i="28"/>
  <c r="I28" i="28" s="1"/>
  <c r="I24" i="28" l="1"/>
  <c r="H22" i="28"/>
  <c r="I22" i="28" s="1"/>
  <c r="I18" i="28"/>
  <c r="C32" i="41" l="1"/>
  <c r="C40" i="41" l="1"/>
  <c r="G40" i="41" s="1"/>
  <c r="G14" i="41"/>
  <c r="E38" i="40" l="1"/>
  <c r="K16" i="40" s="1"/>
  <c r="L8" i="40" l="1"/>
  <c r="L7" i="40" s="1"/>
  <c r="G38" i="40" l="1"/>
  <c r="L16" i="40" s="1"/>
  <c r="I36" i="28" l="1"/>
  <c r="H37" i="28"/>
  <c r="H42" i="28" l="1"/>
  <c r="I37" i="28"/>
  <c r="I42" i="28" l="1"/>
  <c r="I43" i="28"/>
  <c r="L25" i="40" l="1"/>
  <c r="I39" i="41" l="1"/>
  <c r="K25" i="40" l="1"/>
  <c r="C39" i="41" l="1"/>
  <c r="C20" i="41"/>
  <c r="C46" i="41" l="1"/>
  <c r="C22" i="41"/>
  <c r="C26" i="41" s="1"/>
  <c r="C48" i="41" l="1"/>
  <c r="C52" i="41" l="1"/>
  <c r="I44" i="28"/>
  <c r="I48" i="28" l="1"/>
  <c r="C31" i="41"/>
  <c r="C7" i="41"/>
  <c r="C10" i="41" l="1"/>
  <c r="C33" i="41"/>
  <c r="C36" i="41" l="1"/>
  <c r="H50" i="28" l="1"/>
  <c r="H53" i="28" l="1"/>
  <c r="I53" i="28" s="1"/>
  <c r="I50" i="28"/>
  <c r="H60" i="28" l="1"/>
  <c r="I60" i="28" s="1"/>
  <c r="K32" i="41" l="1"/>
  <c r="I47" i="41" l="1"/>
  <c r="J21" i="41"/>
  <c r="J32" i="41"/>
  <c r="M21" i="41" l="1"/>
  <c r="J47" i="41"/>
  <c r="M47" i="41" s="1"/>
  <c r="I40" i="41" l="1"/>
  <c r="M14" i="41"/>
  <c r="I20" i="41"/>
  <c r="I22" i="41" l="1"/>
  <c r="I26" i="41" s="1"/>
  <c r="M40" i="41"/>
  <c r="I46" i="41"/>
  <c r="I48" i="41" l="1"/>
  <c r="I52" i="41" l="1"/>
  <c r="I34" i="41" l="1"/>
  <c r="K7" i="41" l="1"/>
  <c r="K31" i="41"/>
  <c r="K33" i="41" l="1"/>
  <c r="I32" i="41" l="1"/>
  <c r="L32" i="41"/>
  <c r="M32" i="41" s="1"/>
  <c r="M6" i="41" l="1"/>
  <c r="J7" i="41" l="1"/>
  <c r="J31" i="41"/>
  <c r="J33" i="41" l="1"/>
  <c r="I35" i="41" l="1"/>
  <c r="I31" i="41" l="1"/>
  <c r="I7" i="41"/>
  <c r="I10" i="41" s="1"/>
  <c r="M5" i="41"/>
  <c r="L31" i="41" l="1"/>
  <c r="L33" i="41" s="1"/>
  <c r="M33" i="41" s="1"/>
  <c r="L7" i="41"/>
  <c r="M7" i="41" s="1"/>
  <c r="I33" i="41"/>
  <c r="M31" i="41"/>
  <c r="I36" i="41" l="1"/>
  <c r="E32" i="41" l="1"/>
  <c r="F32" i="41" l="1"/>
  <c r="D32" i="41" l="1"/>
  <c r="G6" i="41"/>
  <c r="G32" i="41" l="1"/>
  <c r="E31" i="41" l="1"/>
  <c r="E7" i="41"/>
  <c r="E33" i="41" l="1"/>
  <c r="D7" i="41"/>
  <c r="D31" i="41"/>
  <c r="D33" i="41" l="1"/>
  <c r="F31" i="41" l="1"/>
  <c r="F7" i="41"/>
  <c r="G7" i="41" s="1"/>
  <c r="G5" i="41"/>
  <c r="F33" i="41" l="1"/>
  <c r="G33" i="41" s="1"/>
  <c r="G31" i="41"/>
  <c r="K39" i="41" l="1"/>
  <c r="K46" i="41" s="1"/>
  <c r="K48" i="41" s="1"/>
  <c r="K52" i="41" s="1"/>
  <c r="K20" i="41"/>
  <c r="K22" i="41" s="1"/>
  <c r="K26" i="41" s="1"/>
  <c r="J39" i="41"/>
  <c r="J20" i="41"/>
  <c r="E39" i="41"/>
  <c r="E46" i="41" s="1"/>
  <c r="E48" i="41" s="1"/>
  <c r="E52" i="41" s="1"/>
  <c r="E20" i="41"/>
  <c r="E22" i="41" s="1"/>
  <c r="E26" i="41" s="1"/>
  <c r="J22" i="41" l="1"/>
  <c r="J26" i="41" s="1"/>
  <c r="J46" i="41"/>
  <c r="D39" i="41"/>
  <c r="D20" i="41"/>
  <c r="J48" i="41" l="1"/>
  <c r="D22" i="41"/>
  <c r="D26" i="41" s="1"/>
  <c r="D46" i="41"/>
  <c r="D48" i="41" l="1"/>
  <c r="J52" i="41"/>
  <c r="D52" i="41" l="1"/>
  <c r="F20" i="41" l="1"/>
  <c r="F39" i="41"/>
  <c r="G13" i="41"/>
  <c r="F46" i="41" l="1"/>
  <c r="G39" i="41"/>
  <c r="F22" i="41"/>
  <c r="F26" i="41" s="1"/>
  <c r="G26" i="41" s="1"/>
  <c r="G20" i="41"/>
  <c r="G22" i="41" s="1"/>
  <c r="L39" i="41" l="1"/>
  <c r="L20" i="41"/>
  <c r="M13" i="41"/>
  <c r="F48" i="41"/>
  <c r="G46" i="41"/>
  <c r="F52" i="41" l="1"/>
  <c r="G52" i="41" s="1"/>
  <c r="G48" i="41"/>
  <c r="L22" i="41"/>
  <c r="L26" i="41" s="1"/>
  <c r="M26" i="41" s="1"/>
  <c r="M20" i="41"/>
  <c r="M22" i="41" s="1"/>
  <c r="L46" i="41"/>
  <c r="M39" i="41"/>
  <c r="L48" i="41" l="1"/>
  <c r="M46" i="41"/>
  <c r="L52" i="41" l="1"/>
  <c r="M52" i="41" s="1"/>
  <c r="M48" i="41"/>
</calcChain>
</file>

<file path=xl/sharedStrings.xml><?xml version="1.0" encoding="utf-8"?>
<sst xmlns="http://schemas.openxmlformats.org/spreadsheetml/2006/main" count="559" uniqueCount="236">
  <si>
    <t>Financials</t>
  </si>
  <si>
    <t>Distribution</t>
  </si>
  <si>
    <t>EBITDA</t>
  </si>
  <si>
    <t>EBITDA + Capex reimbursements</t>
  </si>
  <si>
    <t>Free Cash Flow (before interest &amp; tax)</t>
  </si>
  <si>
    <t>Retail</t>
  </si>
  <si>
    <t>Free Cash Flow (after interest &amp; tax)</t>
  </si>
  <si>
    <t>Capex outperformance</t>
  </si>
  <si>
    <t>Opex outperformance</t>
  </si>
  <si>
    <t>T&amp;L outperformance</t>
  </si>
  <si>
    <t>Tax correction</t>
  </si>
  <si>
    <t>Theft accrual &amp; collection</t>
  </si>
  <si>
    <t>Other</t>
  </si>
  <si>
    <t>Capex reimbursements</t>
  </si>
  <si>
    <t>Capex</t>
  </si>
  <si>
    <t>Opex</t>
  </si>
  <si>
    <t>% outperformance</t>
  </si>
  <si>
    <t>Churn rates (%)</t>
  </si>
  <si>
    <t>Late payment income</t>
  </si>
  <si>
    <t>Overspending (%)</t>
  </si>
  <si>
    <t>Financial result</t>
  </si>
  <si>
    <t>Income tax</t>
  </si>
  <si>
    <t>Delta</t>
  </si>
  <si>
    <t>Operations</t>
  </si>
  <si>
    <t>Equity</t>
  </si>
  <si>
    <t>CAPEX Reimbursements</t>
  </si>
  <si>
    <t>Net Income</t>
  </si>
  <si>
    <t>Efficiency &amp; Quality</t>
  </si>
  <si>
    <t>Operational Earnings</t>
  </si>
  <si>
    <t>Financial income not yet cash-effective</t>
  </si>
  <si>
    <t>Operating Cash Flow (before interest &amp; tax)</t>
  </si>
  <si>
    <t>Actual allowed Capex</t>
  </si>
  <si>
    <t>Cash-effective Capex</t>
  </si>
  <si>
    <t>Regulated gross profit</t>
  </si>
  <si>
    <t>Bad debt related income and expense</t>
  </si>
  <si>
    <t>Doubtful provision expense</t>
  </si>
  <si>
    <t>Bonus collection</t>
  </si>
  <si>
    <t>Delta NWC</t>
  </si>
  <si>
    <t xml:space="preserve">Consolidated </t>
  </si>
  <si>
    <t>Underlying Net Income</t>
  </si>
  <si>
    <t>Depreciation &amp; Amortization</t>
  </si>
  <si>
    <t>Payout ratio</t>
  </si>
  <si>
    <t>Interest payments (net)</t>
  </si>
  <si>
    <t>Tax payments</t>
  </si>
  <si>
    <t>Dividend payment</t>
  </si>
  <si>
    <t>Other (FX &amp; accruals)</t>
  </si>
  <si>
    <t>RAB (Opening Balance)</t>
  </si>
  <si>
    <t>RAB (Closing Balance)</t>
  </si>
  <si>
    <t>Revaluation of opening balance</t>
  </si>
  <si>
    <t>Initial allowed Capex (real)</t>
  </si>
  <si>
    <t>Initial allowed Capex (nominal)</t>
  </si>
  <si>
    <t>Corporate</t>
  </si>
  <si>
    <t>Residential &amp; SME</t>
  </si>
  <si>
    <t>Gross profit margin (%)</t>
  </si>
  <si>
    <t>Regulated (%)</t>
  </si>
  <si>
    <t>Network length (km)</t>
  </si>
  <si>
    <t>Network connections (m)</t>
  </si>
  <si>
    <t>Sales volume (TWh)</t>
  </si>
  <si>
    <t>Regulated (TWh)</t>
  </si>
  <si>
    <t>Total Distributed Energy (TWh)</t>
  </si>
  <si>
    <t>n.a.</t>
  </si>
  <si>
    <t>Customer number (m)</t>
  </si>
  <si>
    <t>Dividends (fiscal year perspective)</t>
  </si>
  <si>
    <t>Price equalization effects</t>
  </si>
  <si>
    <t>Deposit valuation expenses</t>
  </si>
  <si>
    <t>Earnings per share (kr)</t>
  </si>
  <si>
    <t>Dividend per share (kr)</t>
  </si>
  <si>
    <t>Net VAT received/paid</t>
  </si>
  <si>
    <t>Unpaid and previous year Capex</t>
  </si>
  <si>
    <t>Net deposit additions</t>
  </si>
  <si>
    <t>Customer solutions gross profit</t>
  </si>
  <si>
    <t>FY</t>
  </si>
  <si>
    <t>Liberalised (TWh)</t>
  </si>
  <si>
    <t>Liberalised (%)</t>
  </si>
  <si>
    <t>T&amp;L Ayedaş</t>
  </si>
  <si>
    <t>T&amp;L Başkent</t>
  </si>
  <si>
    <t>T&amp;L Toroslar</t>
  </si>
  <si>
    <t>1 January</t>
  </si>
  <si>
    <t>31 December</t>
  </si>
  <si>
    <t>(mTL)</t>
  </si>
  <si>
    <t>Operating profit before finance income/(expense)</t>
  </si>
  <si>
    <t>Adjustments to the depreciation and amortization</t>
  </si>
  <si>
    <t>TradeCo related EBITDA adjustments</t>
  </si>
  <si>
    <t>Adjustments related to fair value difference arising from deposits</t>
  </si>
  <si>
    <t>Interest income related to revenue cap  regulation</t>
  </si>
  <si>
    <t>EBITDA+CAPEX Reimbursements</t>
  </si>
  <si>
    <t>Fair value changes of financial assets</t>
  </si>
  <si>
    <t>Non re-curring incomes related to fiscal year 2016</t>
  </si>
  <si>
    <t>Operational earnings</t>
  </si>
  <si>
    <t>31 March</t>
  </si>
  <si>
    <t xml:space="preserve">Profit for the period </t>
  </si>
  <si>
    <t>Adjustments to reconcile net profit for the period</t>
  </si>
  <si>
    <t>Changes in operating assets and liabilities</t>
  </si>
  <si>
    <t>Cash Generated From Operating Activities</t>
  </si>
  <si>
    <t>Other inflows</t>
  </si>
  <si>
    <t>Cash Flows from Operating Activities (before interest and tax)</t>
  </si>
  <si>
    <t>Cash Flows from Operating Activities (after interest and tax)</t>
  </si>
  <si>
    <t>CAPEX</t>
  </si>
  <si>
    <t>Payment to Privatization Administration</t>
  </si>
  <si>
    <t>Interest received</t>
  </si>
  <si>
    <t>Cash Flows from Investing Activities</t>
  </si>
  <si>
    <t>Cash in-flows and out-flows from borrowings</t>
  </si>
  <si>
    <t>Interest paid</t>
  </si>
  <si>
    <t>Cash Flows from Financing Activities</t>
  </si>
  <si>
    <t xml:space="preserve">Increase in cash and cash equivalents </t>
  </si>
  <si>
    <t>Cash and cash equivalents at the beginning of the period</t>
  </si>
  <si>
    <t>Cash and cash equivalents at the end of the period</t>
  </si>
  <si>
    <t>Free cash flow (before interest and tax)</t>
  </si>
  <si>
    <t>Free cash flow (after interest and tax)</t>
  </si>
  <si>
    <t>Cash and Cash Equivalents</t>
  </si>
  <si>
    <t>Financial Assets</t>
  </si>
  <si>
    <t>Trade Receivables</t>
  </si>
  <si>
    <t>Other Current Assets</t>
  </si>
  <si>
    <t>Current Assets</t>
  </si>
  <si>
    <t>Tangible and Intangible Assets</t>
  </si>
  <si>
    <t>Other Non-Current Assets</t>
  </si>
  <si>
    <t>Non-Current Assets</t>
  </si>
  <si>
    <t>TOTAL ASSETS</t>
  </si>
  <si>
    <t>Short-Term Financial Liabilities</t>
  </si>
  <si>
    <t>Other Financial Liabilities</t>
  </si>
  <si>
    <t>Trade Payables</t>
  </si>
  <si>
    <t>Other current liabilities</t>
  </si>
  <si>
    <t>Current Liabilities</t>
  </si>
  <si>
    <t>Long-Term Financial Liabilities</t>
  </si>
  <si>
    <t>Other non-current liabilities</t>
  </si>
  <si>
    <t>Long-Term Liabilities</t>
  </si>
  <si>
    <t>Share capital</t>
  </si>
  <si>
    <t>Other equity items</t>
  </si>
  <si>
    <t>Retained Earnings</t>
  </si>
  <si>
    <t>TOTAL LIABILITIES AND EQUITY</t>
  </si>
  <si>
    <t>Net debt</t>
  </si>
  <si>
    <t>Sales Revenue (net)</t>
  </si>
  <si>
    <t>Thereof regulated retail sales revenue</t>
  </si>
  <si>
    <t>Thereof regulated retail service revenue</t>
  </si>
  <si>
    <t>Thereof liberalised retail sales revenue</t>
  </si>
  <si>
    <t>Thereof pass through grid revenue</t>
  </si>
  <si>
    <t>Cost of Sales (-)</t>
  </si>
  <si>
    <t>Thereof regulated sales procurement</t>
  </si>
  <si>
    <t>Thereof liberalised sales procurement</t>
  </si>
  <si>
    <t>Thereof pass through grid cost</t>
  </si>
  <si>
    <t>Gross Profit</t>
  </si>
  <si>
    <t>OPEX</t>
  </si>
  <si>
    <t>Other Income/(Expense)</t>
  </si>
  <si>
    <t>Operating profit before 
   finance income/(expense)</t>
  </si>
  <si>
    <t>RETAIL</t>
  </si>
  <si>
    <t>CONS</t>
  </si>
  <si>
    <t>DISCO</t>
  </si>
  <si>
    <t xml:space="preserve">Financial income </t>
  </si>
  <si>
    <t>Lighting sales revenue</t>
  </si>
  <si>
    <t>Distribution revenue</t>
  </si>
  <si>
    <t>Adjustment of depreciation and amortization</t>
  </si>
  <si>
    <r>
      <t xml:space="preserve">Non-recurring income related to fiscal year 2016 </t>
    </r>
    <r>
      <rPr>
        <vertAlign val="superscript"/>
        <sz val="9"/>
        <color rgb="FF000000"/>
        <rFont val="Calibri"/>
        <family val="2"/>
      </rPr>
      <t>(1)</t>
    </r>
  </si>
  <si>
    <t>Energy purchases (Ligting &amp; T&amp;L)</t>
  </si>
  <si>
    <t>Pass-through transmission revenue</t>
  </si>
  <si>
    <t>Pass-through transmission cost</t>
  </si>
  <si>
    <t>Quality bonus</t>
  </si>
  <si>
    <t>Financial Income</t>
  </si>
  <si>
    <t>VAT paid</t>
  </si>
  <si>
    <t>Liberalised gross profit</t>
  </si>
  <si>
    <t>Other income/expense</t>
  </si>
  <si>
    <t>30 June</t>
  </si>
  <si>
    <t>Adjustments related to operational fx gains/(losses)</t>
  </si>
  <si>
    <t>Revenue</t>
  </si>
  <si>
    <t>Cost of Sales</t>
  </si>
  <si>
    <t>Gross Margin</t>
  </si>
  <si>
    <t xml:space="preserve">Opex </t>
  </si>
  <si>
    <t>Operating profit</t>
  </si>
  <si>
    <t>TradeCo-related pro-forma EBITDA adjustment</t>
  </si>
  <si>
    <t>-</t>
  </si>
  <si>
    <t>Adjustments related to deposit valuation expense</t>
  </si>
  <si>
    <t>Non-recurring income related to prior fiscal years</t>
  </si>
  <si>
    <t>Other (non-cash NWC)</t>
  </si>
  <si>
    <t>WACC (real in %)</t>
  </si>
  <si>
    <t>Target</t>
  </si>
  <si>
    <t>Actual rate</t>
  </si>
  <si>
    <t>Adjustments related to operational fx losses</t>
  </si>
  <si>
    <t>Competition Authority penalty provision</t>
  </si>
  <si>
    <t>30 September</t>
  </si>
  <si>
    <t>Impairment on goodwill</t>
  </si>
  <si>
    <t>Impairment</t>
  </si>
  <si>
    <t>Net loan interest expense</t>
  </si>
  <si>
    <t>Weighted average loan financing cost (%)</t>
  </si>
  <si>
    <t>Bond interest expense</t>
  </si>
  <si>
    <t>Weighted average bond financing cost (%)</t>
  </si>
  <si>
    <t>Goodwill impairment expense</t>
  </si>
  <si>
    <t>Net bond interest expense</t>
  </si>
  <si>
    <t>Lease interest expense</t>
  </si>
  <si>
    <t>Financial Net Debt (Opening Balance)</t>
  </si>
  <si>
    <t>Financial Net Debt (Closing Balance)</t>
  </si>
  <si>
    <t>Lease interest expenses</t>
  </si>
  <si>
    <t>18-19</t>
  </si>
  <si>
    <t>Underlying net income</t>
  </si>
  <si>
    <t>OCF (bIT)</t>
  </si>
  <si>
    <t>FCF (aIT)</t>
  </si>
  <si>
    <t>Economic net debt</t>
  </si>
  <si>
    <t>Disco</t>
  </si>
  <si>
    <t>Financial net debt/Operational earnings</t>
  </si>
  <si>
    <t>Kısa Vadeli Finansal Yükümlülükler</t>
  </si>
  <si>
    <t>Uzun Vadeli Finansal Yükümlülüklerin
  Kısa Vadeli Kısımları</t>
  </si>
  <si>
    <t>Diğer Finansal Yükümlülükler</t>
  </si>
  <si>
    <t>Uzun Vadeli Finansal Yükümlülükler</t>
  </si>
  <si>
    <t>Nakit ve Nakit Benzerleri</t>
  </si>
  <si>
    <t>Türev Araçlar</t>
  </si>
  <si>
    <t>Finansal kiralama borçları</t>
  </si>
  <si>
    <t>Group</t>
  </si>
  <si>
    <t>Esas faaliyetlerden kur farkı giderleri</t>
  </si>
  <si>
    <t>Faiz gelirleri</t>
  </si>
  <si>
    <t xml:space="preserve">  Şirket içi krediler</t>
  </si>
  <si>
    <t>Kur farkı geliri / (gideri) - net</t>
  </si>
  <si>
    <t xml:space="preserve">  Banka kredilerinden kazançlar</t>
  </si>
  <si>
    <t xml:space="preserve">  Türev enstrumanlardan kazançlar</t>
  </si>
  <si>
    <t xml:space="preserve">  Diğer kazançlar</t>
  </si>
  <si>
    <t>Diğer</t>
  </si>
  <si>
    <t>Gelir tavanı düzenlemesiyle ilgili faiz geliri - net</t>
  </si>
  <si>
    <t>Şirket içi krediler</t>
  </si>
  <si>
    <t>Vadeli mevzuatlar</t>
  </si>
  <si>
    <t>Geri alım sözleşmeleri</t>
  </si>
  <si>
    <t>Fiyat eşitleme</t>
  </si>
  <si>
    <t>Diğer faiz gelirleri</t>
  </si>
  <si>
    <t>Kredi faiz giderleri</t>
  </si>
  <si>
    <t xml:space="preserve">  Banka kredileri</t>
  </si>
  <si>
    <t xml:space="preserve">  Tahvil</t>
  </si>
  <si>
    <t xml:space="preserve">  Finansal kiralama yükümlülüklerinden doğan faiz giderleri</t>
  </si>
  <si>
    <t xml:space="preserve">  Türev enstrumanlardan kayıplar</t>
  </si>
  <si>
    <t xml:space="preserve">  Banka kredilerinden kayıplar</t>
  </si>
  <si>
    <t xml:space="preserve">  Diğer finansal yükümlülüklerden kayıplar</t>
  </si>
  <si>
    <t xml:space="preserve">  Diğer kayıplar</t>
  </si>
  <si>
    <t xml:space="preserve"> Finansal kiralama yükümlülüklerinden doğan zararlar</t>
  </si>
  <si>
    <t>Banka komisyon giderleri</t>
  </si>
  <si>
    <t>Depozito ve teminatlar değerleme farkları</t>
  </si>
  <si>
    <t>EBIT</t>
  </si>
  <si>
    <t>Depreciation</t>
  </si>
  <si>
    <t>FCF (bIT)</t>
  </si>
  <si>
    <t>Interest payments</t>
  </si>
  <si>
    <t>Check</t>
  </si>
  <si>
    <t xml:space="preserve"> Capex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</si>
</sst>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0.0%"/>
    <numFmt numFmtId="166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i/>
      <sz val="9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  <charset val="162"/>
    </font>
    <font>
      <i/>
      <sz val="9"/>
      <color rgb="FF000000"/>
      <name val="Calibri"/>
      <family val="2"/>
      <scheme val="minor"/>
    </font>
    <font>
      <sz val="18"/>
      <name val="Arial"/>
      <family val="2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sz val="9"/>
      <color rgb="FF000000"/>
      <name val="Calibri"/>
      <family val="2"/>
    </font>
    <font>
      <i/>
      <sz val="9"/>
      <color rgb="FF000000"/>
      <name val="Calibri"/>
      <family val="2"/>
    </font>
    <font>
      <b/>
      <sz val="9"/>
      <color rgb="FFFFFFFF"/>
      <name val="Calibri"/>
      <family val="2"/>
    </font>
    <font>
      <vertAlign val="superscript"/>
      <sz val="9"/>
      <color rgb="FF000000"/>
      <name val="Calibri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162"/>
    </font>
    <font>
      <sz val="11"/>
      <color indexed="8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medium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FFC000"/>
      </top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0" fontId="24" fillId="0" borderId="0"/>
    <xf numFmtId="0" fontId="14" fillId="0" borderId="0"/>
  </cellStyleXfs>
  <cellXfs count="120">
    <xf numFmtId="0" fontId="0" fillId="0" borderId="0" xfId="0"/>
    <xf numFmtId="3" fontId="0" fillId="0" borderId="0" xfId="0" applyNumberFormat="1" applyAlignment="1">
      <alignment horizontal="right" indent="1"/>
    </xf>
    <xf numFmtId="0" fontId="0" fillId="0" borderId="1" xfId="0" applyBorder="1"/>
    <xf numFmtId="3" fontId="0" fillId="0" borderId="0" xfId="0" applyNumberFormat="1"/>
    <xf numFmtId="3" fontId="0" fillId="0" borderId="2" xfId="0" applyNumberFormat="1" applyFill="1" applyBorder="1" applyAlignment="1">
      <alignment horizontal="right" indent="1"/>
    </xf>
    <xf numFmtId="0" fontId="0" fillId="0" borderId="1" xfId="0" applyFill="1" applyBorder="1"/>
    <xf numFmtId="3" fontId="0" fillId="0" borderId="2" xfId="0" applyNumberFormat="1" applyBorder="1" applyAlignment="1">
      <alignment horizontal="right" indent="1"/>
    </xf>
    <xf numFmtId="165" fontId="0" fillId="0" borderId="2" xfId="1" applyNumberFormat="1" applyFont="1" applyBorder="1" applyAlignment="1">
      <alignment horizontal="right" indent="1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0" fontId="0" fillId="0" borderId="1" xfId="0" applyBorder="1" applyAlignment="1">
      <alignment horizontal="left" indent="1"/>
    </xf>
    <xf numFmtId="165" fontId="0" fillId="0" borderId="2" xfId="1" applyNumberFormat="1" applyFont="1" applyFill="1" applyBorder="1" applyAlignment="1">
      <alignment horizontal="right" indent="1"/>
    </xf>
    <xf numFmtId="0" fontId="0" fillId="0" borderId="1" xfId="0" applyBorder="1" applyAlignment="1">
      <alignment horizontal="left" indent="2"/>
    </xf>
    <xf numFmtId="0" fontId="0" fillId="0" borderId="1" xfId="0" applyFill="1" applyBorder="1" applyAlignment="1">
      <alignment horizontal="left" indent="1"/>
    </xf>
    <xf numFmtId="0" fontId="0" fillId="0" borderId="0" xfId="0" applyFill="1"/>
    <xf numFmtId="166" fontId="0" fillId="0" borderId="2" xfId="0" applyNumberFormat="1" applyFill="1" applyBorder="1" applyAlignment="1">
      <alignment horizontal="right" indent="1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/>
    <xf numFmtId="3" fontId="4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3" fontId="2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10" fontId="0" fillId="0" borderId="2" xfId="1" applyNumberFormat="1" applyFont="1" applyFill="1" applyBorder="1" applyAlignment="1">
      <alignment horizontal="right" indent="1"/>
    </xf>
    <xf numFmtId="0" fontId="0" fillId="0" borderId="0" xfId="0" applyFill="1" applyBorder="1"/>
    <xf numFmtId="3" fontId="0" fillId="0" borderId="0" xfId="0" applyNumberFormat="1" applyFill="1" applyBorder="1" applyAlignment="1">
      <alignment horizontal="right" indent="1"/>
    </xf>
    <xf numFmtId="0" fontId="0" fillId="0" borderId="1" xfId="0" applyBorder="1" applyAlignment="1">
      <alignment horizontal="left"/>
    </xf>
    <xf numFmtId="3" fontId="6" fillId="0" borderId="0" xfId="0" applyNumberFormat="1" applyFont="1"/>
    <xf numFmtId="3" fontId="4" fillId="0" borderId="0" xfId="0" applyNumberFormat="1" applyFont="1"/>
    <xf numFmtId="9" fontId="0" fillId="0" borderId="0" xfId="1" applyFont="1"/>
    <xf numFmtId="166" fontId="4" fillId="0" borderId="2" xfId="0" applyNumberFormat="1" applyFont="1" applyFill="1" applyBorder="1" applyAlignment="1">
      <alignment horizontal="right" indent="1"/>
    </xf>
    <xf numFmtId="166" fontId="0" fillId="0" borderId="0" xfId="0" applyNumberFormat="1" applyFill="1" applyBorder="1" applyAlignment="1">
      <alignment horizontal="right" indent="1"/>
    </xf>
    <xf numFmtId="0" fontId="0" fillId="0" borderId="0" xfId="0" applyFont="1" applyFill="1" applyBorder="1"/>
    <xf numFmtId="166" fontId="0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3" fontId="0" fillId="0" borderId="2" xfId="0" applyNumberFormat="1" applyFill="1" applyBorder="1" applyAlignment="1">
      <alignment horizontal="right"/>
    </xf>
    <xf numFmtId="3" fontId="0" fillId="0" borderId="2" xfId="0" applyNumberFormat="1" applyFont="1" applyFill="1" applyBorder="1" applyAlignment="1"/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ill="1" applyBorder="1" applyAlignment="1"/>
    <xf numFmtId="0" fontId="0" fillId="0" borderId="0" xfId="0" applyAlignment="1"/>
    <xf numFmtId="0" fontId="0" fillId="0" borderId="0" xfId="0"/>
    <xf numFmtId="0" fontId="4" fillId="0" borderId="0" xfId="0" applyFont="1"/>
    <xf numFmtId="0" fontId="0" fillId="0" borderId="0" xfId="0" applyFont="1"/>
    <xf numFmtId="0" fontId="0" fillId="0" borderId="0" xfId="0" applyAlignment="1">
      <alignment horizontal="right"/>
    </xf>
    <xf numFmtId="3" fontId="4" fillId="0" borderId="2" xfId="0" applyNumberFormat="1" applyFont="1" applyFill="1" applyBorder="1" applyAlignment="1"/>
    <xf numFmtId="0" fontId="6" fillId="0" borderId="0" xfId="0" applyFont="1"/>
    <xf numFmtId="16" fontId="8" fillId="0" borderId="0" xfId="0" quotePrefix="1" applyNumberFormat="1" applyFont="1" applyAlignment="1">
      <alignment horizontal="right" wrapText="1" readingOrder="1"/>
    </xf>
    <xf numFmtId="0" fontId="9" fillId="0" borderId="0" xfId="0" applyFont="1" applyAlignment="1">
      <alignment vertical="center" wrapText="1" readingOrder="1"/>
    </xf>
    <xf numFmtId="0" fontId="10" fillId="0" borderId="3" xfId="0" applyFont="1" applyBorder="1" applyAlignment="1">
      <alignment horizontal="left" wrapText="1" readingOrder="1"/>
    </xf>
    <xf numFmtId="0" fontId="8" fillId="0" borderId="3" xfId="0" applyFont="1" applyBorder="1" applyAlignment="1">
      <alignment horizontal="right" wrapText="1" readingOrder="1"/>
    </xf>
    <xf numFmtId="0" fontId="8" fillId="0" borderId="0" xfId="0" applyFont="1" applyAlignment="1">
      <alignment horizontal="left" vertical="center" wrapText="1" readingOrder="1"/>
    </xf>
    <xf numFmtId="3" fontId="8" fillId="0" borderId="0" xfId="0" applyNumberFormat="1" applyFont="1" applyAlignment="1">
      <alignment horizontal="right" wrapText="1" readingOrder="1"/>
    </xf>
    <xf numFmtId="0" fontId="11" fillId="0" borderId="0" xfId="0" applyFont="1" applyAlignment="1">
      <alignment horizontal="left" vertical="center" wrapText="1" readingOrder="1"/>
    </xf>
    <xf numFmtId="3" fontId="11" fillId="0" borderId="0" xfId="0" applyNumberFormat="1" applyFont="1" applyAlignment="1">
      <alignment horizontal="right" wrapText="1" readingOrder="1"/>
    </xf>
    <xf numFmtId="0" fontId="12" fillId="2" borderId="0" xfId="0" applyFont="1" applyFill="1" applyAlignment="1">
      <alignment horizontal="left" vertical="center" wrapText="1" readingOrder="1"/>
    </xf>
    <xf numFmtId="3" fontId="12" fillId="2" borderId="0" xfId="0" applyNumberFormat="1" applyFont="1" applyFill="1" applyAlignment="1">
      <alignment horizontal="right" wrapText="1" readingOrder="1"/>
    </xf>
    <xf numFmtId="3" fontId="11" fillId="0" borderId="0" xfId="0" applyNumberFormat="1" applyFont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3" fontId="11" fillId="0" borderId="4" xfId="0" applyNumberFormat="1" applyFont="1" applyBorder="1" applyAlignment="1">
      <alignment horizontal="right" wrapText="1" readingOrder="1"/>
    </xf>
    <xf numFmtId="0" fontId="13" fillId="0" borderId="5" xfId="0" applyFont="1" applyFill="1" applyBorder="1" applyAlignment="1">
      <alignment horizontal="left" vertical="center" wrapText="1" readingOrder="1"/>
    </xf>
    <xf numFmtId="3" fontId="13" fillId="0" borderId="5" xfId="0" applyNumberFormat="1" applyFont="1" applyFill="1" applyBorder="1" applyAlignment="1">
      <alignment horizontal="right" wrapText="1" readingOrder="1"/>
    </xf>
    <xf numFmtId="0" fontId="11" fillId="0" borderId="6" xfId="0" applyFont="1" applyBorder="1" applyAlignment="1">
      <alignment horizontal="center" wrapText="1" readingOrder="1"/>
    </xf>
    <xf numFmtId="3" fontId="15" fillId="0" borderId="0" xfId="0" applyNumberFormat="1" applyFont="1" applyAlignment="1">
      <alignment horizontal="left" vertical="center" wrapText="1" indent="1" readingOrder="1"/>
    </xf>
    <xf numFmtId="3" fontId="15" fillId="0" borderId="0" xfId="0" applyNumberFormat="1" applyFont="1" applyAlignment="1">
      <alignment horizontal="right" wrapText="1" readingOrder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8" fillId="0" borderId="3" xfId="0" applyFont="1" applyBorder="1" applyAlignment="1">
      <alignment horizontal="left" wrapText="1" readingOrder="1"/>
    </xf>
    <xf numFmtId="0" fontId="19" fillId="0" borderId="7" xfId="0" applyFont="1" applyBorder="1" applyAlignment="1">
      <alignment horizontal="left" vertical="center" wrapText="1" readingOrder="1"/>
    </xf>
    <xf numFmtId="3" fontId="19" fillId="0" borderId="7" xfId="0" applyNumberFormat="1" applyFont="1" applyBorder="1" applyAlignment="1">
      <alignment horizontal="right" wrapText="1" readingOrder="1"/>
    </xf>
    <xf numFmtId="0" fontId="20" fillId="0" borderId="0" xfId="0" applyFont="1" applyAlignment="1">
      <alignment horizontal="left" vertical="center" wrapText="1" indent="1" readingOrder="1"/>
    </xf>
    <xf numFmtId="3" fontId="20" fillId="0" borderId="0" xfId="0" applyNumberFormat="1" applyFont="1" applyAlignment="1">
      <alignment horizontal="right" wrapText="1" readingOrder="1"/>
    </xf>
    <xf numFmtId="0" fontId="20" fillId="0" borderId="0" xfId="0" applyFont="1" applyAlignment="1">
      <alignment horizontal="right" wrapText="1" readingOrder="1"/>
    </xf>
    <xf numFmtId="0" fontId="19" fillId="0" borderId="0" xfId="0" applyFont="1" applyAlignment="1">
      <alignment horizontal="left" vertical="center" wrapText="1" readingOrder="1"/>
    </xf>
    <xf numFmtId="3" fontId="19" fillId="0" borderId="0" xfId="0" applyNumberFormat="1" applyFont="1" applyAlignment="1">
      <alignment horizontal="right" wrapText="1" readingOrder="1"/>
    </xf>
    <xf numFmtId="0" fontId="17" fillId="0" borderId="0" xfId="0" applyFont="1" applyAlignment="1">
      <alignment horizontal="left" vertical="center" wrapText="1" readingOrder="1"/>
    </xf>
    <xf numFmtId="3" fontId="17" fillId="0" borderId="0" xfId="0" applyNumberFormat="1" applyFont="1" applyAlignment="1">
      <alignment horizontal="right" wrapText="1" readingOrder="1"/>
    </xf>
    <xf numFmtId="0" fontId="21" fillId="2" borderId="0" xfId="0" applyFont="1" applyFill="1" applyAlignment="1">
      <alignment horizontal="left" vertical="center" wrapText="1" readingOrder="1"/>
    </xf>
    <xf numFmtId="3" fontId="21" fillId="2" borderId="0" xfId="0" applyNumberFormat="1" applyFont="1" applyFill="1" applyAlignment="1">
      <alignment horizontal="right" wrapText="1" readingOrder="1"/>
    </xf>
    <xf numFmtId="166" fontId="0" fillId="0" borderId="0" xfId="0" applyNumberFormat="1"/>
    <xf numFmtId="0" fontId="23" fillId="0" borderId="1" xfId="0" applyFont="1" applyFill="1" applyBorder="1"/>
    <xf numFmtId="0" fontId="23" fillId="0" borderId="8" xfId="0" applyFont="1" applyFill="1" applyBorder="1"/>
    <xf numFmtId="0" fontId="3" fillId="2" borderId="1" xfId="0" applyFont="1" applyFill="1" applyBorder="1"/>
    <xf numFmtId="0" fontId="23" fillId="0" borderId="2" xfId="0" applyFont="1" applyFill="1" applyBorder="1" applyAlignment="1">
      <alignment horizontal="center"/>
    </xf>
    <xf numFmtId="0" fontId="23" fillId="0" borderId="9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5" fontId="0" fillId="0" borderId="0" xfId="0" applyNumberFormat="1"/>
    <xf numFmtId="0" fontId="4" fillId="0" borderId="2" xfId="0" applyFont="1" applyFill="1" applyBorder="1" applyAlignment="1">
      <alignment horizontal="center"/>
    </xf>
    <xf numFmtId="0" fontId="4" fillId="0" borderId="8" xfId="0" applyFont="1" applyFill="1" applyBorder="1"/>
    <xf numFmtId="0" fontId="4" fillId="0" borderId="9" xfId="0" applyFont="1" applyFill="1" applyBorder="1" applyAlignment="1">
      <alignment horizontal="center"/>
    </xf>
    <xf numFmtId="16" fontId="4" fillId="0" borderId="9" xfId="0" quotePrefix="1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4" fontId="7" fillId="0" borderId="2" xfId="0" applyNumberFormat="1" applyFont="1" applyFill="1" applyBorder="1" applyAlignment="1">
      <alignment horizontal="right" indent="1"/>
    </xf>
    <xf numFmtId="166" fontId="3" fillId="2" borderId="2" xfId="0" applyNumberFormat="1" applyFont="1" applyFill="1" applyBorder="1" applyAlignment="1">
      <alignment horizontal="right" indent="1"/>
    </xf>
    <xf numFmtId="0" fontId="7" fillId="0" borderId="0" xfId="0" applyFont="1" applyFill="1"/>
    <xf numFmtId="16" fontId="23" fillId="0" borderId="9" xfId="0" quotePrefix="1" applyNumberFormat="1" applyFont="1" applyFill="1" applyBorder="1" applyAlignment="1">
      <alignment horizontal="center"/>
    </xf>
    <xf numFmtId="3" fontId="0" fillId="0" borderId="2" xfId="0" quotePrefix="1" applyNumberFormat="1" applyFill="1" applyBorder="1" applyAlignment="1">
      <alignment horizontal="right"/>
    </xf>
    <xf numFmtId="3" fontId="3" fillId="2" borderId="2" xfId="0" applyNumberFormat="1" applyFont="1" applyFill="1" applyBorder="1" applyAlignment="1"/>
    <xf numFmtId="165" fontId="3" fillId="2" borderId="2" xfId="1" applyNumberFormat="1" applyFont="1" applyFill="1" applyBorder="1" applyAlignment="1">
      <alignment horizontal="right" inden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 indent="1"/>
    </xf>
    <xf numFmtId="0" fontId="0" fillId="0" borderId="0" xfId="0" applyFill="1" applyAlignment="1">
      <alignment horizontal="right" indent="1"/>
    </xf>
    <xf numFmtId="3" fontId="0" fillId="0" borderId="2" xfId="0" quotePrefix="1" applyNumberFormat="1" applyFill="1" applyBorder="1" applyAlignment="1">
      <alignment horizontal="right" indent="1"/>
    </xf>
    <xf numFmtId="0" fontId="5" fillId="0" borderId="0" xfId="0" applyFont="1" applyFill="1" applyAlignment="1">
      <alignment horizontal="right" indent="1"/>
    </xf>
    <xf numFmtId="0" fontId="5" fillId="0" borderId="0" xfId="0" applyFont="1" applyFill="1"/>
    <xf numFmtId="165" fontId="5" fillId="2" borderId="2" xfId="1" applyNumberFormat="1" applyFont="1" applyFill="1" applyBorder="1" applyAlignment="1">
      <alignment horizontal="right" indent="1"/>
    </xf>
    <xf numFmtId="3" fontId="5" fillId="2" borderId="2" xfId="0" applyNumberFormat="1" applyFont="1" applyFill="1" applyBorder="1" applyAlignment="1">
      <alignment horizontal="right" indent="1"/>
    </xf>
    <xf numFmtId="3" fontId="25" fillId="0" borderId="0" xfId="0" applyNumberFormat="1" applyFont="1"/>
    <xf numFmtId="3" fontId="26" fillId="0" borderId="0" xfId="0" applyNumberFormat="1" applyFont="1" applyAlignment="1">
      <alignment horizontal="right"/>
    </xf>
    <xf numFmtId="38" fontId="27" fillId="0" borderId="0" xfId="13" quotePrefix="1" applyNumberFormat="1" applyFont="1" applyFill="1" applyBorder="1" applyAlignment="1" applyProtection="1">
      <alignment vertical="center" wrapText="1"/>
    </xf>
    <xf numFmtId="38" fontId="27" fillId="0" borderId="0" xfId="13" applyNumberFormat="1" applyFont="1" applyFill="1" applyBorder="1" applyAlignment="1" applyProtection="1">
      <alignment vertical="center" wrapText="1"/>
    </xf>
    <xf numFmtId="38" fontId="27" fillId="3" borderId="0" xfId="13" quotePrefix="1" applyNumberFormat="1" applyFont="1" applyFill="1" applyBorder="1" applyAlignment="1" applyProtection="1">
      <alignment vertical="center" wrapText="1"/>
    </xf>
    <xf numFmtId="38" fontId="27" fillId="3" borderId="0" xfId="13" quotePrefix="1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indent="1"/>
    </xf>
    <xf numFmtId="3" fontId="0" fillId="0" borderId="0" xfId="0" applyNumberFormat="1" applyFont="1"/>
    <xf numFmtId="3" fontId="4" fillId="0" borderId="0" xfId="0" applyNumberFormat="1" applyFont="1" applyFill="1"/>
    <xf numFmtId="3" fontId="0" fillId="0" borderId="0" xfId="0" applyNumberFormat="1" applyFill="1"/>
    <xf numFmtId="3" fontId="3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</cellXfs>
  <cellStyles count="14">
    <cellStyle name="Comma 2" xfId="5"/>
    <cellStyle name="Comma 3" xfId="6"/>
    <cellStyle name="Normal" xfId="0" builtinId="0"/>
    <cellStyle name="Normal 10 2 3" xfId="11"/>
    <cellStyle name="Normal 111 2" xfId="7"/>
    <cellStyle name="Normal 14 4" xfId="12"/>
    <cellStyle name="Normal 2" xfId="2"/>
    <cellStyle name="Normal 2 2" xfId="8"/>
    <cellStyle name="Normal 69" xfId="3"/>
    <cellStyle name="Normal_Reporting Format 2" xfId="13"/>
    <cellStyle name="Percent 17" xfId="4"/>
    <cellStyle name="Percent 2" xfId="9"/>
    <cellStyle name="Percent 2 2" xfId="1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52"/>
  <sheetViews>
    <sheetView showGridLines="0" workbookViewId="0">
      <selection activeCell="B1" sqref="B1"/>
    </sheetView>
  </sheetViews>
  <sheetFormatPr defaultRowHeight="15" x14ac:dyDescent="0.25"/>
  <cols>
    <col min="3" max="3" width="46.85546875" customWidth="1"/>
    <col min="4" max="5" width="10.5703125" customWidth="1"/>
    <col min="8" max="8" width="47.5703125" customWidth="1"/>
  </cols>
  <sheetData>
    <row r="2" spans="3:10" x14ac:dyDescent="0.25">
      <c r="C2" s="41" t="s">
        <v>145</v>
      </c>
      <c r="H2" s="41" t="s">
        <v>144</v>
      </c>
    </row>
    <row r="3" spans="3:10" x14ac:dyDescent="0.25">
      <c r="C3" s="42"/>
      <c r="D3" s="46" t="s">
        <v>77</v>
      </c>
      <c r="E3" s="46" t="s">
        <v>77</v>
      </c>
      <c r="H3" s="42"/>
      <c r="I3" s="46" t="s">
        <v>77</v>
      </c>
      <c r="J3" s="46" t="s">
        <v>77</v>
      </c>
    </row>
    <row r="4" spans="3:10" x14ac:dyDescent="0.25">
      <c r="C4" s="47"/>
      <c r="D4" s="46" t="s">
        <v>89</v>
      </c>
      <c r="E4" s="46" t="s">
        <v>89</v>
      </c>
      <c r="H4" s="47"/>
      <c r="I4" s="46" t="s">
        <v>89</v>
      </c>
      <c r="J4" s="46" t="s">
        <v>89</v>
      </c>
    </row>
    <row r="5" spans="3:10" ht="15.75" thickBot="1" x14ac:dyDescent="0.3">
      <c r="C5" s="48" t="s">
        <v>79</v>
      </c>
      <c r="D5" s="49">
        <v>2018</v>
      </c>
      <c r="E5" s="49">
        <v>2017</v>
      </c>
      <c r="H5" s="48" t="s">
        <v>79</v>
      </c>
      <c r="I5" s="49">
        <v>2018</v>
      </c>
      <c r="J5" s="49">
        <v>2017</v>
      </c>
    </row>
    <row r="6" spans="3:10" x14ac:dyDescent="0.25">
      <c r="C6" s="40"/>
      <c r="D6" s="40"/>
      <c r="E6" s="40"/>
      <c r="H6" s="50"/>
      <c r="I6" s="61"/>
      <c r="J6" s="61"/>
    </row>
    <row r="7" spans="3:10" x14ac:dyDescent="0.25">
      <c r="C7" s="50" t="s">
        <v>80</v>
      </c>
      <c r="D7" s="51">
        <v>595.51800000000003</v>
      </c>
      <c r="E7" s="51">
        <v>357.49799999999999</v>
      </c>
      <c r="H7" s="52" t="s">
        <v>131</v>
      </c>
      <c r="I7" s="53">
        <v>3762.7559999999999</v>
      </c>
      <c r="J7" s="53">
        <v>2497.8139999999999</v>
      </c>
    </row>
    <row r="8" spans="3:10" x14ac:dyDescent="0.25">
      <c r="C8" s="52" t="s">
        <v>81</v>
      </c>
      <c r="D8" s="53">
        <v>61.433999999999997</v>
      </c>
      <c r="E8" s="53">
        <v>56.021000000000001</v>
      </c>
      <c r="H8" s="62" t="s">
        <v>132</v>
      </c>
      <c r="I8" s="63"/>
      <c r="J8" s="63"/>
    </row>
    <row r="9" spans="3:10" x14ac:dyDescent="0.25">
      <c r="C9" s="52" t="s">
        <v>82</v>
      </c>
      <c r="D9" s="53">
        <v>0</v>
      </c>
      <c r="E9" s="53">
        <v>0</v>
      </c>
      <c r="H9" s="62" t="s">
        <v>133</v>
      </c>
      <c r="I9" s="63"/>
      <c r="J9" s="63"/>
    </row>
    <row r="10" spans="3:10" ht="24" x14ac:dyDescent="0.25">
      <c r="C10" s="52" t="s">
        <v>83</v>
      </c>
      <c r="D10" s="53">
        <v>26.378</v>
      </c>
      <c r="E10" s="53">
        <v>29.542999999999999</v>
      </c>
      <c r="H10" s="62" t="s">
        <v>134</v>
      </c>
      <c r="I10" s="63"/>
      <c r="J10" s="63"/>
    </row>
    <row r="11" spans="3:10" x14ac:dyDescent="0.25">
      <c r="C11" s="52" t="s">
        <v>84</v>
      </c>
      <c r="D11" s="53">
        <v>-7.8250000000000002</v>
      </c>
      <c r="E11" s="53">
        <v>0.23300000000000001</v>
      </c>
      <c r="H11" s="62" t="s">
        <v>135</v>
      </c>
      <c r="I11" s="63"/>
      <c r="J11" s="63"/>
    </row>
    <row r="12" spans="3:10" x14ac:dyDescent="0.25">
      <c r="C12" s="54" t="s">
        <v>2</v>
      </c>
      <c r="D12" s="55">
        <f>SUM(D7:D11)</f>
        <v>675.505</v>
      </c>
      <c r="E12" s="55">
        <f>SUM(E7:E11)</f>
        <v>443.29500000000002</v>
      </c>
      <c r="H12" s="56" t="s">
        <v>136</v>
      </c>
      <c r="I12" s="53">
        <v>-3598.31</v>
      </c>
      <c r="J12" s="53">
        <v>-2415.0340000000001</v>
      </c>
    </row>
    <row r="13" spans="3:10" x14ac:dyDescent="0.25">
      <c r="C13" s="52" t="s">
        <v>25</v>
      </c>
      <c r="D13" s="53">
        <v>191.33500000000001</v>
      </c>
      <c r="E13" s="53">
        <v>144.102</v>
      </c>
      <c r="H13" s="62" t="s">
        <v>137</v>
      </c>
      <c r="I13" s="63"/>
      <c r="J13" s="63"/>
    </row>
    <row r="14" spans="3:10" x14ac:dyDescent="0.25">
      <c r="C14" s="54" t="s">
        <v>85</v>
      </c>
      <c r="D14" s="55">
        <f>SUM(D12:D13)</f>
        <v>866.84</v>
      </c>
      <c r="E14" s="55">
        <f>SUM(E12:E13)</f>
        <v>587.39700000000005</v>
      </c>
      <c r="H14" s="62" t="s">
        <v>138</v>
      </c>
      <c r="I14" s="63"/>
      <c r="J14" s="63"/>
    </row>
    <row r="15" spans="3:10" x14ac:dyDescent="0.25">
      <c r="C15" s="52" t="s">
        <v>86</v>
      </c>
      <c r="D15" s="53">
        <v>0</v>
      </c>
      <c r="E15" s="53">
        <v>0</v>
      </c>
      <c r="H15" s="62" t="s">
        <v>139</v>
      </c>
      <c r="I15" s="63"/>
      <c r="J15" s="63"/>
    </row>
    <row r="16" spans="3:10" x14ac:dyDescent="0.25">
      <c r="C16" s="52" t="s">
        <v>87</v>
      </c>
      <c r="D16" s="53">
        <v>0</v>
      </c>
      <c r="E16" s="53">
        <v>-70</v>
      </c>
      <c r="H16" s="50" t="s">
        <v>140</v>
      </c>
      <c r="I16" s="51">
        <f>SUM(I7,I12)</f>
        <v>164.44599999999991</v>
      </c>
      <c r="J16" s="51">
        <f>SUM(J7,J12)</f>
        <v>82.779999999999745</v>
      </c>
    </row>
    <row r="17" spans="3:10" x14ac:dyDescent="0.25">
      <c r="C17" s="54" t="s">
        <v>88</v>
      </c>
      <c r="D17" s="55">
        <f>SUM(D14:D16)</f>
        <v>866.84</v>
      </c>
      <c r="E17" s="55">
        <f>SUM(E14:E16)</f>
        <v>517.39700000000005</v>
      </c>
      <c r="H17" s="52" t="s">
        <v>141</v>
      </c>
      <c r="I17" s="53">
        <v>-69.671000000000006</v>
      </c>
      <c r="J17" s="53">
        <v>-58.155999999999999</v>
      </c>
    </row>
    <row r="18" spans="3:10" x14ac:dyDescent="0.25">
      <c r="C18" s="40"/>
      <c r="D18" s="40"/>
      <c r="E18" s="40"/>
      <c r="H18" s="52" t="s">
        <v>142</v>
      </c>
      <c r="I18" s="53">
        <v>-11.523</v>
      </c>
      <c r="J18" s="53">
        <v>-23.763999999999999</v>
      </c>
    </row>
    <row r="19" spans="3:10" ht="24" x14ac:dyDescent="0.25">
      <c r="C19" s="54" t="s">
        <v>26</v>
      </c>
      <c r="D19" s="55">
        <v>242.86199999999999</v>
      </c>
      <c r="E19" s="55">
        <v>78.290999999999997</v>
      </c>
      <c r="H19" s="50" t="s">
        <v>143</v>
      </c>
      <c r="I19" s="51">
        <f>SUM(I16:I18)</f>
        <v>83.25199999999991</v>
      </c>
      <c r="J19" s="51">
        <f>SUM(J16:J18)</f>
        <v>0.85999999999974719</v>
      </c>
    </row>
    <row r="20" spans="3:10" x14ac:dyDescent="0.25">
      <c r="C20" s="56" t="s">
        <v>86</v>
      </c>
      <c r="D20" s="53">
        <v>0</v>
      </c>
      <c r="E20" s="53">
        <v>0</v>
      </c>
      <c r="H20" s="52" t="s">
        <v>81</v>
      </c>
      <c r="I20" s="53">
        <v>4.4903426459776075</v>
      </c>
      <c r="J20" s="53">
        <v>1.7611559215354853</v>
      </c>
    </row>
    <row r="21" spans="3:10" x14ac:dyDescent="0.25">
      <c r="C21" s="56" t="s">
        <v>87</v>
      </c>
      <c r="D21" s="53">
        <v>0</v>
      </c>
      <c r="E21" s="53">
        <f>E16*0.8</f>
        <v>-56</v>
      </c>
      <c r="H21" s="52" t="s">
        <v>82</v>
      </c>
      <c r="I21" s="53">
        <v>0</v>
      </c>
      <c r="J21" s="53">
        <v>0</v>
      </c>
    </row>
    <row r="22" spans="3:10" ht="24" x14ac:dyDescent="0.25">
      <c r="C22" s="54" t="s">
        <v>39</v>
      </c>
      <c r="D22" s="55">
        <f>SUM(D19:D21)</f>
        <v>242.86199999999999</v>
      </c>
      <c r="E22" s="55">
        <f>SUM(E19:E21)</f>
        <v>22.290999999999997</v>
      </c>
      <c r="H22" s="52" t="s">
        <v>83</v>
      </c>
      <c r="I22" s="53" t="e">
        <f>#REF!*-1</f>
        <v>#REF!</v>
      </c>
      <c r="J22" s="53" t="e">
        <f>-#REF!</f>
        <v>#REF!</v>
      </c>
    </row>
    <row r="23" spans="3:10" x14ac:dyDescent="0.25">
      <c r="H23" s="54" t="s">
        <v>2</v>
      </c>
      <c r="I23" s="55" t="e">
        <f>SUM(I19:I22)</f>
        <v>#REF!</v>
      </c>
      <c r="J23" s="55" t="e">
        <f>SUM(J19:J22)</f>
        <v>#REF!</v>
      </c>
    </row>
    <row r="27" spans="3:10" x14ac:dyDescent="0.25">
      <c r="C27" s="41" t="s">
        <v>146</v>
      </c>
    </row>
    <row r="29" spans="3:10" ht="23.25" x14ac:dyDescent="0.35">
      <c r="C29" s="64"/>
      <c r="D29" s="46" t="s">
        <v>77</v>
      </c>
      <c r="E29" s="46" t="s">
        <v>77</v>
      </c>
    </row>
    <row r="30" spans="3:10" ht="11.45" customHeight="1" x14ac:dyDescent="0.25">
      <c r="C30" s="65"/>
      <c r="D30" s="46" t="s">
        <v>89</v>
      </c>
      <c r="E30" s="46" t="s">
        <v>89</v>
      </c>
    </row>
    <row r="31" spans="3:10" ht="15.75" thickBot="1" x14ac:dyDescent="0.3">
      <c r="C31" s="66" t="s">
        <v>79</v>
      </c>
      <c r="D31" s="49">
        <v>2018</v>
      </c>
      <c r="E31" s="49">
        <v>2017</v>
      </c>
    </row>
    <row r="32" spans="3:10" x14ac:dyDescent="0.25">
      <c r="C32" s="67" t="s">
        <v>131</v>
      </c>
      <c r="D32" s="68">
        <v>1282.8800000000001</v>
      </c>
      <c r="E32" s="68">
        <v>1045.7159999999999</v>
      </c>
    </row>
    <row r="33" spans="3:5" x14ac:dyDescent="0.25">
      <c r="C33" s="69" t="s">
        <v>147</v>
      </c>
      <c r="D33" s="70"/>
      <c r="E33" s="70"/>
    </row>
    <row r="34" spans="3:5" x14ac:dyDescent="0.25">
      <c r="C34" s="69" t="s">
        <v>149</v>
      </c>
      <c r="D34" s="70"/>
      <c r="E34" s="70"/>
    </row>
    <row r="35" spans="3:5" x14ac:dyDescent="0.25">
      <c r="C35" s="69" t="s">
        <v>153</v>
      </c>
      <c r="D35" s="70"/>
      <c r="E35" s="70"/>
    </row>
    <row r="36" spans="3:5" x14ac:dyDescent="0.25">
      <c r="C36" s="69" t="s">
        <v>148</v>
      </c>
      <c r="D36" s="70"/>
      <c r="E36" s="71"/>
    </row>
    <row r="37" spans="3:5" x14ac:dyDescent="0.25">
      <c r="C37" s="72" t="s">
        <v>136</v>
      </c>
      <c r="D37" s="73">
        <v>-423.23599999999999</v>
      </c>
      <c r="E37" s="73">
        <v>-373.75400000000002</v>
      </c>
    </row>
    <row r="38" spans="3:5" x14ac:dyDescent="0.25">
      <c r="C38" s="69" t="s">
        <v>152</v>
      </c>
      <c r="D38" s="71"/>
      <c r="E38" s="71"/>
    </row>
    <row r="39" spans="3:5" x14ac:dyDescent="0.25">
      <c r="C39" s="69" t="s">
        <v>154</v>
      </c>
      <c r="D39" s="71"/>
      <c r="E39" s="71"/>
    </row>
    <row r="40" spans="3:5" x14ac:dyDescent="0.25">
      <c r="C40" s="69" t="s">
        <v>12</v>
      </c>
      <c r="D40" s="71"/>
      <c r="E40" s="71"/>
    </row>
    <row r="41" spans="3:5" x14ac:dyDescent="0.25">
      <c r="C41" s="74" t="s">
        <v>140</v>
      </c>
      <c r="D41" s="75">
        <f>SUM(D37,D32)</f>
        <v>859.64400000000012</v>
      </c>
      <c r="E41" s="75">
        <f>SUM(E37,E32)</f>
        <v>671.96199999999988</v>
      </c>
    </row>
    <row r="42" spans="3:5" x14ac:dyDescent="0.25">
      <c r="C42" s="72" t="s">
        <v>141</v>
      </c>
      <c r="D42" s="73">
        <v>-283.54899999999998</v>
      </c>
      <c r="E42" s="73">
        <v>-232.25200000000001</v>
      </c>
    </row>
    <row r="43" spans="3:5" x14ac:dyDescent="0.25">
      <c r="C43" s="72" t="s">
        <v>142</v>
      </c>
      <c r="D43" s="73">
        <v>-2.0299999999999998</v>
      </c>
      <c r="E43" s="73">
        <v>-30.908000000000001</v>
      </c>
    </row>
    <row r="44" spans="3:5" x14ac:dyDescent="0.25">
      <c r="C44" s="74" t="s">
        <v>80</v>
      </c>
      <c r="D44" s="75">
        <f>SUM(D41:D43)</f>
        <v>574.06500000000017</v>
      </c>
      <c r="E44" s="75">
        <f>SUM(E41:E43)</f>
        <v>408.80199999999985</v>
      </c>
    </row>
    <row r="45" spans="3:5" x14ac:dyDescent="0.25">
      <c r="C45" s="72" t="s">
        <v>150</v>
      </c>
      <c r="D45" s="73">
        <v>3.9158992241589949</v>
      </c>
      <c r="E45" s="73">
        <v>2.7880474302320515</v>
      </c>
    </row>
    <row r="46" spans="3:5" x14ac:dyDescent="0.25">
      <c r="C46" s="72" t="s">
        <v>84</v>
      </c>
      <c r="D46" s="73" t="e">
        <f>#REF!*-1</f>
        <v>#REF!</v>
      </c>
      <c r="E46" s="73" t="e">
        <f>#REF!*-1</f>
        <v>#REF!</v>
      </c>
    </row>
    <row r="47" spans="3:5" x14ac:dyDescent="0.25">
      <c r="C47" s="76" t="s">
        <v>2</v>
      </c>
      <c r="D47" s="77" t="e">
        <f>SUM(D44:D46)</f>
        <v>#REF!</v>
      </c>
      <c r="E47" s="77" t="e">
        <f>SUM(E44:E46)</f>
        <v>#REF!</v>
      </c>
    </row>
    <row r="48" spans="3:5" x14ac:dyDescent="0.25">
      <c r="C48" s="72" t="s">
        <v>25</v>
      </c>
      <c r="D48" s="73" t="e">
        <f>#REF!</f>
        <v>#REF!</v>
      </c>
      <c r="E48" s="73" t="e">
        <f>#REF!</f>
        <v>#REF!</v>
      </c>
    </row>
    <row r="49" spans="3:5" x14ac:dyDescent="0.25">
      <c r="C49" s="76" t="s">
        <v>85</v>
      </c>
      <c r="D49" s="77" t="e">
        <f>SUM(D47:D48)</f>
        <v>#REF!</v>
      </c>
      <c r="E49" s="77" t="e">
        <f>SUM(E47:E48)</f>
        <v>#REF!</v>
      </c>
    </row>
    <row r="50" spans="3:5" x14ac:dyDescent="0.25">
      <c r="C50" s="72" t="s">
        <v>86</v>
      </c>
      <c r="D50" s="73">
        <v>0</v>
      </c>
      <c r="E50" s="73">
        <v>0</v>
      </c>
    </row>
    <row r="51" spans="3:5" x14ac:dyDescent="0.25">
      <c r="C51" s="72" t="s">
        <v>151</v>
      </c>
      <c r="D51" s="73">
        <v>0</v>
      </c>
      <c r="E51" s="73">
        <v>-70</v>
      </c>
    </row>
    <row r="52" spans="3:5" x14ac:dyDescent="0.25">
      <c r="C52" s="76" t="s">
        <v>88</v>
      </c>
      <c r="D52" s="77" t="e">
        <f>SUM(D49:D51)</f>
        <v>#REF!</v>
      </c>
      <c r="E52" s="77" t="e">
        <f>SUM(E49:E51)</f>
        <v>#REF!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34"/>
  <sheetViews>
    <sheetView showGridLines="0" zoomScale="80" zoomScaleNormal="80" workbookViewId="0">
      <selection activeCell="G11" sqref="G11"/>
    </sheetView>
  </sheetViews>
  <sheetFormatPr defaultRowHeight="15" x14ac:dyDescent="0.25"/>
  <cols>
    <col min="3" max="3" width="21" bestFit="1" customWidth="1"/>
  </cols>
  <sheetData>
    <row r="4" spans="3:7" x14ac:dyDescent="0.25">
      <c r="C4" t="s">
        <v>88</v>
      </c>
      <c r="D4" s="3">
        <v>867</v>
      </c>
      <c r="E4" s="3">
        <v>1126</v>
      </c>
      <c r="F4" s="3">
        <v>3845</v>
      </c>
      <c r="G4" s="3">
        <v>4704</v>
      </c>
    </row>
    <row r="5" spans="3:7" x14ac:dyDescent="0.25">
      <c r="C5" t="s">
        <v>191</v>
      </c>
      <c r="D5" s="3">
        <v>243</v>
      </c>
      <c r="E5" s="3">
        <v>297</v>
      </c>
      <c r="F5" s="3">
        <v>730</v>
      </c>
      <c r="G5" s="3">
        <v>1069</v>
      </c>
    </row>
    <row r="6" spans="3:7" x14ac:dyDescent="0.25">
      <c r="C6" t="s">
        <v>192</v>
      </c>
      <c r="D6" s="3"/>
      <c r="E6" s="3"/>
      <c r="F6" s="3">
        <v>2122</v>
      </c>
      <c r="G6" s="3"/>
    </row>
    <row r="7" spans="3:7" x14ac:dyDescent="0.25">
      <c r="C7" t="s">
        <v>14</v>
      </c>
      <c r="D7" s="3"/>
      <c r="E7" s="3"/>
      <c r="F7" s="3">
        <v>-1602</v>
      </c>
      <c r="G7" s="3"/>
    </row>
    <row r="8" spans="3:7" x14ac:dyDescent="0.25">
      <c r="C8" t="s">
        <v>193</v>
      </c>
      <c r="D8" s="3">
        <v>-884</v>
      </c>
      <c r="E8" s="3">
        <v>-441</v>
      </c>
      <c r="F8" s="3">
        <v>-562</v>
      </c>
      <c r="G8" s="3">
        <v>496</v>
      </c>
    </row>
    <row r="9" spans="3:7" x14ac:dyDescent="0.25">
      <c r="D9" s="3"/>
      <c r="E9" s="3"/>
      <c r="F9" s="3"/>
      <c r="G9" s="3"/>
    </row>
    <row r="10" spans="3:7" x14ac:dyDescent="0.25">
      <c r="C10" t="s">
        <v>194</v>
      </c>
      <c r="D10" s="3">
        <v>9.1999999999999993</v>
      </c>
      <c r="E10" s="3">
        <v>10.6</v>
      </c>
      <c r="F10" s="3">
        <v>10.1</v>
      </c>
      <c r="G10" s="3">
        <v>10.8</v>
      </c>
    </row>
    <row r="11" spans="3:7" x14ac:dyDescent="0.25">
      <c r="D11" s="3"/>
      <c r="E11" s="3">
        <v>10630</v>
      </c>
      <c r="F11" s="3">
        <v>10120</v>
      </c>
      <c r="G11" s="3">
        <v>10814</v>
      </c>
    </row>
    <row r="12" spans="3:7" x14ac:dyDescent="0.25">
      <c r="D12" s="3"/>
      <c r="E12" s="3"/>
      <c r="F12" s="3"/>
      <c r="G12" s="3"/>
    </row>
    <row r="13" spans="3:7" x14ac:dyDescent="0.25">
      <c r="C13" s="41" t="s">
        <v>195</v>
      </c>
      <c r="D13" s="3"/>
      <c r="E13" s="3"/>
      <c r="F13" s="3"/>
      <c r="G13" s="3"/>
    </row>
    <row r="14" spans="3:7" x14ac:dyDescent="0.25">
      <c r="C14" s="41" t="s">
        <v>88</v>
      </c>
      <c r="D14" s="3">
        <v>762</v>
      </c>
      <c r="E14" s="3">
        <v>986</v>
      </c>
      <c r="F14" s="3">
        <v>3490</v>
      </c>
      <c r="G14" s="3">
        <v>4155</v>
      </c>
    </row>
    <row r="15" spans="3:7" x14ac:dyDescent="0.25">
      <c r="C15" s="41" t="s">
        <v>192</v>
      </c>
      <c r="D15" s="3">
        <v>94</v>
      </c>
      <c r="E15" s="3">
        <v>139</v>
      </c>
      <c r="F15" s="3">
        <v>2374</v>
      </c>
      <c r="G15" s="3">
        <v>3089</v>
      </c>
    </row>
    <row r="16" spans="3:7" x14ac:dyDescent="0.25">
      <c r="C16" s="41" t="s">
        <v>14</v>
      </c>
      <c r="D16" s="3">
        <v>-489</v>
      </c>
      <c r="E16" s="3">
        <v>-705</v>
      </c>
      <c r="F16" s="3">
        <v>-1549</v>
      </c>
      <c r="G16" s="3">
        <v>-1598</v>
      </c>
    </row>
    <row r="17" spans="3:7" x14ac:dyDescent="0.25">
      <c r="D17" s="3">
        <f>SUM(D15:D16)</f>
        <v>-395</v>
      </c>
      <c r="E17" s="3">
        <f>SUM(E15:E16)</f>
        <v>-566</v>
      </c>
      <c r="F17" s="3">
        <f t="shared" ref="F17:G17" si="0">SUM(F15:F16)</f>
        <v>825</v>
      </c>
      <c r="G17" s="3">
        <f t="shared" si="0"/>
        <v>1491</v>
      </c>
    </row>
    <row r="18" spans="3:7" x14ac:dyDescent="0.25">
      <c r="D18" s="3"/>
      <c r="E18" s="3"/>
      <c r="F18" s="3"/>
      <c r="G18" s="3"/>
    </row>
    <row r="19" spans="3:7" x14ac:dyDescent="0.25">
      <c r="C19" s="41" t="s">
        <v>5</v>
      </c>
      <c r="D19" s="3"/>
      <c r="E19" s="3"/>
      <c r="F19" s="3"/>
      <c r="G19" s="3"/>
    </row>
    <row r="20" spans="3:7" x14ac:dyDescent="0.25">
      <c r="C20" s="41" t="s">
        <v>88</v>
      </c>
      <c r="D20" s="3">
        <v>115</v>
      </c>
      <c r="E20" s="3">
        <v>142</v>
      </c>
      <c r="F20" s="3">
        <v>389</v>
      </c>
      <c r="G20" s="3">
        <v>593</v>
      </c>
    </row>
    <row r="21" spans="3:7" x14ac:dyDescent="0.25">
      <c r="C21" s="41" t="s">
        <v>192</v>
      </c>
      <c r="D21" s="3">
        <v>-98</v>
      </c>
      <c r="E21" s="3">
        <v>596</v>
      </c>
      <c r="F21" s="3">
        <v>-135</v>
      </c>
      <c r="G21" s="3">
        <v>1037</v>
      </c>
    </row>
    <row r="22" spans="3:7" x14ac:dyDescent="0.25">
      <c r="C22" s="41" t="s">
        <v>14</v>
      </c>
      <c r="D22" s="3">
        <v>-12</v>
      </c>
      <c r="E22" s="3">
        <v>-20</v>
      </c>
      <c r="F22" s="3">
        <v>-38</v>
      </c>
      <c r="G22" s="3">
        <v>-49</v>
      </c>
    </row>
    <row r="23" spans="3:7" x14ac:dyDescent="0.25">
      <c r="D23" s="3">
        <f>SUM(D21:D22)</f>
        <v>-110</v>
      </c>
      <c r="E23" s="3">
        <f>SUM(E21:E22)</f>
        <v>576</v>
      </c>
      <c r="F23" s="3">
        <f t="shared" ref="F23:G23" si="1">SUM(F21:F22)</f>
        <v>-173</v>
      </c>
      <c r="G23" s="3">
        <f t="shared" si="1"/>
        <v>988</v>
      </c>
    </row>
    <row r="24" spans="3:7" x14ac:dyDescent="0.25">
      <c r="D24" s="3"/>
      <c r="E24" s="3"/>
      <c r="F24" s="3"/>
      <c r="G24" s="3"/>
    </row>
    <row r="28" spans="3:7" ht="30" x14ac:dyDescent="0.25">
      <c r="C28" s="110" t="s">
        <v>197</v>
      </c>
      <c r="E28" s="3">
        <v>1339</v>
      </c>
      <c r="G28" s="3">
        <v>998</v>
      </c>
    </row>
    <row r="29" spans="3:7" ht="45" x14ac:dyDescent="0.25">
      <c r="C29" s="110" t="s">
        <v>198</v>
      </c>
      <c r="E29" s="3">
        <v>3034</v>
      </c>
      <c r="G29" s="3">
        <v>2436</v>
      </c>
    </row>
    <row r="30" spans="3:7" ht="30" x14ac:dyDescent="0.25">
      <c r="C30" s="111" t="s">
        <v>199</v>
      </c>
      <c r="E30" s="3">
        <v>38</v>
      </c>
      <c r="G30" s="3">
        <v>44</v>
      </c>
    </row>
    <row r="31" spans="3:7" ht="30" x14ac:dyDescent="0.25">
      <c r="C31" s="110" t="s">
        <v>200</v>
      </c>
      <c r="E31" s="3">
        <v>5415</v>
      </c>
      <c r="G31" s="3">
        <v>5765</v>
      </c>
    </row>
    <row r="32" spans="3:7" ht="30" x14ac:dyDescent="0.25">
      <c r="C32" s="111" t="s">
        <v>199</v>
      </c>
      <c r="E32" s="3">
        <v>296</v>
      </c>
      <c r="G32" s="3">
        <v>322</v>
      </c>
    </row>
    <row r="33" spans="3:7" ht="30" x14ac:dyDescent="0.25">
      <c r="C33" s="112" t="s">
        <v>201</v>
      </c>
      <c r="E33" s="3">
        <v>-324</v>
      </c>
      <c r="G33" s="3">
        <v>-562</v>
      </c>
    </row>
    <row r="34" spans="3:7" x14ac:dyDescent="0.25">
      <c r="C34" s="112" t="s">
        <v>202</v>
      </c>
      <c r="E34">
        <v>0</v>
      </c>
      <c r="G34" s="40">
        <v>-313</v>
      </c>
    </row>
    <row r="35" spans="3:7" x14ac:dyDescent="0.25">
      <c r="C35" s="112" t="s">
        <v>202</v>
      </c>
      <c r="E35" s="40">
        <v>0</v>
      </c>
      <c r="G35" s="40">
        <v>0</v>
      </c>
    </row>
    <row r="36" spans="3:7" x14ac:dyDescent="0.25">
      <c r="C36" s="112" t="s">
        <v>202</v>
      </c>
      <c r="E36" s="40">
        <v>100</v>
      </c>
      <c r="G36" s="40">
        <v>4</v>
      </c>
    </row>
    <row r="37" spans="3:7" x14ac:dyDescent="0.25">
      <c r="C37" s="112" t="s">
        <v>202</v>
      </c>
      <c r="E37" s="40">
        <v>0</v>
      </c>
      <c r="G37" s="40">
        <v>8</v>
      </c>
    </row>
    <row r="38" spans="3:7" x14ac:dyDescent="0.25">
      <c r="C38" s="113" t="s">
        <v>203</v>
      </c>
      <c r="E38">
        <v>-44</v>
      </c>
      <c r="G38" s="40">
        <v>0</v>
      </c>
    </row>
    <row r="39" spans="3:7" x14ac:dyDescent="0.25">
      <c r="C39" s="113" t="s">
        <v>203</v>
      </c>
      <c r="E39" s="40">
        <v>-137</v>
      </c>
      <c r="F39" s="40"/>
      <c r="G39" s="40">
        <v>0</v>
      </c>
    </row>
    <row r="40" spans="3:7" x14ac:dyDescent="0.25">
      <c r="E40" s="28">
        <f>SUM(E28:E39)</f>
        <v>9717</v>
      </c>
      <c r="G40" s="28">
        <f>SUM(G28:G39)</f>
        <v>8702</v>
      </c>
    </row>
    <row r="134" spans="5:5" x14ac:dyDescent="0.25">
      <c r="E134" s="109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37"/>
  <sheetViews>
    <sheetView showGridLines="0" topLeftCell="A10" workbookViewId="0">
      <selection activeCell="I103" sqref="I103"/>
    </sheetView>
  </sheetViews>
  <sheetFormatPr defaultRowHeight="15" x14ac:dyDescent="0.25"/>
  <cols>
    <col min="3" max="3" width="44.5703125" customWidth="1"/>
    <col min="4" max="5" width="12.85546875" customWidth="1"/>
  </cols>
  <sheetData>
    <row r="3" spans="3:5" x14ac:dyDescent="0.25">
      <c r="C3" s="42"/>
      <c r="D3" s="46" t="s">
        <v>77</v>
      </c>
      <c r="E3" s="46" t="s">
        <v>77</v>
      </c>
    </row>
    <row r="4" spans="3:5" x14ac:dyDescent="0.25">
      <c r="C4" s="47"/>
      <c r="D4" s="46" t="s">
        <v>89</v>
      </c>
      <c r="E4" s="46" t="s">
        <v>89</v>
      </c>
    </row>
    <row r="5" spans="3:5" ht="15.75" thickBot="1" x14ac:dyDescent="0.3">
      <c r="C5" s="48" t="s">
        <v>79</v>
      </c>
      <c r="D5" s="49">
        <v>2018</v>
      </c>
      <c r="E5" s="49">
        <v>2017</v>
      </c>
    </row>
    <row r="6" spans="3:5" x14ac:dyDescent="0.25">
      <c r="C6" s="50"/>
      <c r="D6" s="51"/>
      <c r="E6" s="51"/>
    </row>
    <row r="7" spans="3:5" x14ac:dyDescent="0.25">
      <c r="C7" s="52" t="s">
        <v>90</v>
      </c>
      <c r="D7" s="53">
        <f>'Group PLs'!D19</f>
        <v>242.86199999999999</v>
      </c>
      <c r="E7" s="53">
        <f>'Group PLs'!E19</f>
        <v>78.290999999999997</v>
      </c>
    </row>
    <row r="8" spans="3:5" x14ac:dyDescent="0.25">
      <c r="C8" s="52" t="s">
        <v>91</v>
      </c>
      <c r="D8" s="53">
        <v>232.59899999999999</v>
      </c>
      <c r="E8" s="53">
        <v>278.96800000000002</v>
      </c>
    </row>
    <row r="9" spans="3:5" x14ac:dyDescent="0.25">
      <c r="C9" s="52" t="s">
        <v>92</v>
      </c>
      <c r="D9" s="53">
        <v>-886.27200000000005</v>
      </c>
      <c r="E9" s="53">
        <v>-223.053</v>
      </c>
    </row>
    <row r="10" spans="3:5" x14ac:dyDescent="0.25">
      <c r="C10" s="52" t="s">
        <v>93</v>
      </c>
      <c r="D10" s="53">
        <f>SUM(D7:D9)</f>
        <v>-410.81100000000004</v>
      </c>
      <c r="E10" s="53">
        <f>SUM(E7:E9)</f>
        <v>134.20600000000002</v>
      </c>
    </row>
    <row r="11" spans="3:5" x14ac:dyDescent="0.25">
      <c r="C11" s="52" t="s">
        <v>94</v>
      </c>
      <c r="D11" s="53">
        <v>313.73</v>
      </c>
      <c r="E11" s="53">
        <v>231.393</v>
      </c>
    </row>
    <row r="12" spans="3:5" ht="24" x14ac:dyDescent="0.25">
      <c r="C12" s="50" t="s">
        <v>95</v>
      </c>
      <c r="D12" s="51">
        <f>SUM(D10:D11)</f>
        <v>-97.081000000000017</v>
      </c>
      <c r="E12" s="51">
        <f>SUM(E10:E11)</f>
        <v>365.59900000000005</v>
      </c>
    </row>
    <row r="13" spans="3:5" x14ac:dyDescent="0.25">
      <c r="C13" s="52" t="s">
        <v>43</v>
      </c>
      <c r="D13" s="53">
        <v>-6.58</v>
      </c>
      <c r="E13" s="53">
        <v>-21.649000000000001</v>
      </c>
    </row>
    <row r="14" spans="3:5" ht="24" x14ac:dyDescent="0.25">
      <c r="C14" s="50" t="s">
        <v>96</v>
      </c>
      <c r="D14" s="51">
        <f>SUM(D12:D13)</f>
        <v>-103.66100000000002</v>
      </c>
      <c r="E14" s="51">
        <f>SUM(E12:E13)</f>
        <v>343.95000000000005</v>
      </c>
    </row>
    <row r="15" spans="3:5" x14ac:dyDescent="0.25">
      <c r="C15" s="52" t="s">
        <v>97</v>
      </c>
      <c r="D15" s="53">
        <v>-500.88599999999997</v>
      </c>
      <c r="E15" s="53">
        <v>-398.11200000000002</v>
      </c>
    </row>
    <row r="16" spans="3:5" x14ac:dyDescent="0.25">
      <c r="C16" s="52" t="s">
        <v>98</v>
      </c>
      <c r="D16" s="53">
        <v>0</v>
      </c>
      <c r="E16" s="53">
        <v>0</v>
      </c>
    </row>
    <row r="17" spans="3:5" x14ac:dyDescent="0.25">
      <c r="C17" s="52" t="s">
        <v>99</v>
      </c>
      <c r="D17" s="53">
        <v>31.844000000000001</v>
      </c>
      <c r="E17" s="53">
        <v>7.0860000000000003</v>
      </c>
    </row>
    <row r="18" spans="3:5" x14ac:dyDescent="0.25">
      <c r="C18" s="50" t="s">
        <v>100</v>
      </c>
      <c r="D18" s="51">
        <f>SUM(D15:D17)</f>
        <v>-469.04199999999997</v>
      </c>
      <c r="E18" s="51">
        <f>SUM(E15:E17)</f>
        <v>-391.02600000000001</v>
      </c>
    </row>
    <row r="19" spans="3:5" x14ac:dyDescent="0.25">
      <c r="C19" s="52" t="s">
        <v>101</v>
      </c>
      <c r="D19" s="53">
        <v>789.46600000000001</v>
      </c>
      <c r="E19" s="53">
        <v>938.34199999999998</v>
      </c>
    </row>
    <row r="20" spans="3:5" x14ac:dyDescent="0.25">
      <c r="C20" s="52" t="s">
        <v>102</v>
      </c>
      <c r="D20" s="53">
        <v>-310.91000000000003</v>
      </c>
      <c r="E20" s="53">
        <v>-241.85</v>
      </c>
    </row>
    <row r="21" spans="3:5" x14ac:dyDescent="0.25">
      <c r="C21" s="50" t="s">
        <v>103</v>
      </c>
      <c r="D21" s="51">
        <f>SUM(D19:D20)</f>
        <v>478.55599999999998</v>
      </c>
      <c r="E21" s="51">
        <f>SUM(E19:E20)</f>
        <v>696.49199999999996</v>
      </c>
    </row>
    <row r="22" spans="3:5" x14ac:dyDescent="0.25">
      <c r="C22" s="52" t="s">
        <v>104</v>
      </c>
      <c r="D22" s="53">
        <f>SUM(D14,D18,D21)</f>
        <v>-94.146999999999991</v>
      </c>
      <c r="E22" s="53">
        <f>SUM(E14,E18,E21)</f>
        <v>649.41599999999994</v>
      </c>
    </row>
    <row r="23" spans="3:5" ht="24" x14ac:dyDescent="0.25">
      <c r="C23" s="52" t="s">
        <v>105</v>
      </c>
      <c r="D23" s="53">
        <v>172.75</v>
      </c>
      <c r="E23" s="53">
        <v>74.569999999999993</v>
      </c>
    </row>
    <row r="24" spans="3:5" x14ac:dyDescent="0.25">
      <c r="C24" s="54" t="s">
        <v>106</v>
      </c>
      <c r="D24" s="55">
        <f>SUM(D22:D23)</f>
        <v>78.603000000000009</v>
      </c>
      <c r="E24" s="55">
        <f>SUM(E22:E23)</f>
        <v>723.98599999999988</v>
      </c>
    </row>
    <row r="25" spans="3:5" x14ac:dyDescent="0.25">
      <c r="C25" s="52"/>
      <c r="D25" s="53"/>
      <c r="E25" s="40"/>
    </row>
    <row r="26" spans="3:5" x14ac:dyDescent="0.25">
      <c r="C26" s="52"/>
      <c r="D26" s="53"/>
      <c r="E26" s="40"/>
    </row>
    <row r="27" spans="3:5" x14ac:dyDescent="0.25">
      <c r="C27" s="42"/>
      <c r="D27" s="46" t="s">
        <v>77</v>
      </c>
      <c r="E27" s="46" t="s">
        <v>77</v>
      </c>
    </row>
    <row r="28" spans="3:5" x14ac:dyDescent="0.25">
      <c r="C28" s="47"/>
      <c r="D28" s="46" t="s">
        <v>89</v>
      </c>
      <c r="E28" s="46" t="s">
        <v>89</v>
      </c>
    </row>
    <row r="29" spans="3:5" ht="15.75" thickBot="1" x14ac:dyDescent="0.3">
      <c r="C29" s="48" t="s">
        <v>79</v>
      </c>
      <c r="D29" s="49">
        <v>2018</v>
      </c>
      <c r="E29" s="49">
        <v>2017</v>
      </c>
    </row>
    <row r="30" spans="3:5" x14ac:dyDescent="0.25">
      <c r="C30" s="52"/>
      <c r="D30" s="40"/>
      <c r="E30" s="40"/>
    </row>
    <row r="31" spans="3:5" ht="24" x14ac:dyDescent="0.25">
      <c r="C31" s="52" t="s">
        <v>95</v>
      </c>
      <c r="D31" s="53">
        <f>D12</f>
        <v>-97.081000000000017</v>
      </c>
      <c r="E31" s="53">
        <f>E12</f>
        <v>365.59900000000005</v>
      </c>
    </row>
    <row r="32" spans="3:5" x14ac:dyDescent="0.25">
      <c r="C32" s="52" t="s">
        <v>97</v>
      </c>
      <c r="D32" s="53">
        <f>D15</f>
        <v>-500.88599999999997</v>
      </c>
      <c r="E32" s="53">
        <f>E15</f>
        <v>-398.11200000000002</v>
      </c>
    </row>
    <row r="33" spans="3:5" x14ac:dyDescent="0.25">
      <c r="C33" s="54" t="s">
        <v>107</v>
      </c>
      <c r="D33" s="55">
        <f>SUM(D31:D32)</f>
        <v>-597.96699999999998</v>
      </c>
      <c r="E33" s="55">
        <f>SUM(E31:E32)</f>
        <v>-32.512999999999977</v>
      </c>
    </row>
    <row r="34" spans="3:5" x14ac:dyDescent="0.25">
      <c r="C34" s="52" t="s">
        <v>43</v>
      </c>
      <c r="D34" s="53">
        <f>D13</f>
        <v>-6.58</v>
      </c>
      <c r="E34" s="53">
        <f>E13</f>
        <v>-21.649000000000001</v>
      </c>
    </row>
    <row r="35" spans="3:5" x14ac:dyDescent="0.25">
      <c r="C35" s="52" t="s">
        <v>99</v>
      </c>
      <c r="D35" s="53">
        <f>D17</f>
        <v>31.844000000000001</v>
      </c>
      <c r="E35" s="53">
        <f>E17</f>
        <v>7.0860000000000003</v>
      </c>
    </row>
    <row r="36" spans="3:5" x14ac:dyDescent="0.25">
      <c r="C36" s="52" t="s">
        <v>102</v>
      </c>
      <c r="D36" s="53">
        <f>D20</f>
        <v>-310.91000000000003</v>
      </c>
      <c r="E36" s="53">
        <f>E20</f>
        <v>-241.85</v>
      </c>
    </row>
    <row r="37" spans="3:5" x14ac:dyDescent="0.25">
      <c r="C37" s="54" t="s">
        <v>108</v>
      </c>
      <c r="D37" s="55">
        <f>SUM(D33:D36)</f>
        <v>-883.61300000000006</v>
      </c>
      <c r="E37" s="55">
        <f>SUM(E33:E36)</f>
        <v>-288.92599999999999</v>
      </c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35"/>
  <sheetViews>
    <sheetView showGridLines="0" zoomScaleNormal="100" workbookViewId="0">
      <selection activeCell="I103" sqref="I103"/>
    </sheetView>
  </sheetViews>
  <sheetFormatPr defaultColWidth="8.85546875" defaultRowHeight="15" x14ac:dyDescent="0.25"/>
  <cols>
    <col min="1" max="2" width="8.85546875" style="40"/>
    <col min="3" max="3" width="41" style="40" customWidth="1"/>
    <col min="4" max="5" width="14" style="40" customWidth="1"/>
    <col min="6" max="16384" width="8.85546875" style="40"/>
  </cols>
  <sheetData>
    <row r="1" spans="3:8" x14ac:dyDescent="0.25">
      <c r="C1" s="47"/>
      <c r="D1" s="46" t="s">
        <v>89</v>
      </c>
      <c r="E1" s="46" t="s">
        <v>78</v>
      </c>
    </row>
    <row r="2" spans="3:8" ht="15.75" thickBot="1" x14ac:dyDescent="0.3">
      <c r="C2" s="48" t="s">
        <v>79</v>
      </c>
      <c r="D2" s="49">
        <v>2018</v>
      </c>
      <c r="E2" s="49">
        <v>2017</v>
      </c>
    </row>
    <row r="3" spans="3:8" ht="7.35" customHeight="1" x14ac:dyDescent="0.25"/>
    <row r="4" spans="3:8" x14ac:dyDescent="0.25">
      <c r="C4" s="52" t="s">
        <v>109</v>
      </c>
      <c r="D4" s="53">
        <v>78.602999999999994</v>
      </c>
      <c r="E4" s="53">
        <v>173</v>
      </c>
      <c r="G4" s="3"/>
      <c r="H4" s="3"/>
    </row>
    <row r="5" spans="3:8" x14ac:dyDescent="0.25">
      <c r="C5" s="52" t="s">
        <v>110</v>
      </c>
      <c r="D5" s="53">
        <v>767.20899999999995</v>
      </c>
      <c r="E5" s="53">
        <v>692</v>
      </c>
      <c r="G5" s="3"/>
      <c r="H5" s="3"/>
    </row>
    <row r="6" spans="3:8" x14ac:dyDescent="0.25">
      <c r="C6" s="52" t="s">
        <v>111</v>
      </c>
      <c r="D6" s="53">
        <v>2852.009</v>
      </c>
      <c r="E6" s="53">
        <v>2382</v>
      </c>
      <c r="G6" s="3"/>
      <c r="H6" s="3"/>
    </row>
    <row r="7" spans="3:8" x14ac:dyDescent="0.25">
      <c r="C7" s="57" t="s">
        <v>112</v>
      </c>
      <c r="D7" s="58">
        <v>923.58500000000004</v>
      </c>
      <c r="E7" s="58">
        <v>855</v>
      </c>
      <c r="G7" s="3"/>
      <c r="H7" s="3"/>
    </row>
    <row r="8" spans="3:8" x14ac:dyDescent="0.25">
      <c r="C8" s="59" t="s">
        <v>113</v>
      </c>
      <c r="D8" s="60">
        <f>SUM(D3:D7)</f>
        <v>4621.4059999999999</v>
      </c>
      <c r="E8" s="60">
        <f>SUM(E4:E7)</f>
        <v>4102</v>
      </c>
      <c r="G8" s="3"/>
      <c r="H8" s="3"/>
    </row>
    <row r="9" spans="3:8" ht="3.6" customHeight="1" x14ac:dyDescent="0.25">
      <c r="C9" s="52"/>
    </row>
    <row r="10" spans="3:8" x14ac:dyDescent="0.25">
      <c r="C10" s="52" t="s">
        <v>110</v>
      </c>
      <c r="D10" s="53">
        <v>5758.28</v>
      </c>
      <c r="E10" s="53">
        <v>5747</v>
      </c>
      <c r="G10" s="3"/>
      <c r="H10" s="3"/>
    </row>
    <row r="11" spans="3:8" x14ac:dyDescent="0.25">
      <c r="C11" s="52" t="s">
        <v>114</v>
      </c>
      <c r="D11" s="53">
        <v>7789.2470000000003</v>
      </c>
      <c r="E11" s="53">
        <v>7841</v>
      </c>
      <c r="G11" s="3"/>
      <c r="H11" s="3"/>
    </row>
    <row r="12" spans="3:8" x14ac:dyDescent="0.25">
      <c r="C12" s="52" t="s">
        <v>115</v>
      </c>
      <c r="D12" s="53">
        <v>799.16699999999946</v>
      </c>
      <c r="E12" s="53">
        <v>896</v>
      </c>
      <c r="G12" s="3"/>
      <c r="H12" s="3"/>
    </row>
    <row r="13" spans="3:8" x14ac:dyDescent="0.25">
      <c r="C13" s="59" t="s">
        <v>116</v>
      </c>
      <c r="D13" s="60">
        <f>SUM(D9:D12)</f>
        <v>14346.694</v>
      </c>
      <c r="E13" s="60">
        <f>SUM(E10:E12)</f>
        <v>14484</v>
      </c>
      <c r="G13" s="3"/>
      <c r="H13" s="3"/>
    </row>
    <row r="14" spans="3:8" ht="6.6" customHeight="1" x14ac:dyDescent="0.25">
      <c r="C14" s="52"/>
    </row>
    <row r="15" spans="3:8" x14ac:dyDescent="0.25">
      <c r="C15" s="54" t="s">
        <v>117</v>
      </c>
      <c r="D15" s="55">
        <f>SUM(D8,D13)+1</f>
        <v>18969.099999999999</v>
      </c>
      <c r="E15" s="55">
        <f>SUM(E8,E13)</f>
        <v>18586</v>
      </c>
    </row>
    <row r="16" spans="3:8" ht="4.3499999999999996" customHeight="1" x14ac:dyDescent="0.25">
      <c r="C16" s="52"/>
    </row>
    <row r="17" spans="3:8" x14ac:dyDescent="0.25">
      <c r="C17" s="52" t="s">
        <v>118</v>
      </c>
      <c r="D17" s="53">
        <v>1766.0229999999999</v>
      </c>
      <c r="E17" s="53">
        <v>1939</v>
      </c>
      <c r="G17" s="3"/>
      <c r="H17" s="3"/>
    </row>
    <row r="18" spans="3:8" x14ac:dyDescent="0.25">
      <c r="C18" s="52" t="s">
        <v>119</v>
      </c>
      <c r="D18" s="53">
        <v>35.119</v>
      </c>
      <c r="E18" s="53">
        <v>30</v>
      </c>
      <c r="G18" s="3"/>
      <c r="H18" s="3"/>
    </row>
    <row r="19" spans="3:8" x14ac:dyDescent="0.25">
      <c r="C19" s="52" t="s">
        <v>120</v>
      </c>
      <c r="D19" s="53">
        <v>951.33100000000002</v>
      </c>
      <c r="E19" s="53">
        <v>1512</v>
      </c>
      <c r="G19" s="3"/>
      <c r="H19" s="3"/>
    </row>
    <row r="20" spans="3:8" x14ac:dyDescent="0.25">
      <c r="C20" s="52" t="s">
        <v>121</v>
      </c>
      <c r="D20" s="53">
        <v>1415.585</v>
      </c>
      <c r="E20" s="53">
        <v>1374</v>
      </c>
      <c r="G20" s="3"/>
      <c r="H20" s="3"/>
    </row>
    <row r="21" spans="3:8" x14ac:dyDescent="0.25">
      <c r="C21" s="59" t="s">
        <v>122</v>
      </c>
      <c r="D21" s="60">
        <f>SUM(D17:D20)</f>
        <v>4168.058</v>
      </c>
      <c r="E21" s="60">
        <f>SUM(E17:E20)</f>
        <v>4855</v>
      </c>
      <c r="G21" s="3"/>
      <c r="H21" s="3"/>
    </row>
    <row r="22" spans="3:8" ht="2.4500000000000002" customHeight="1" x14ac:dyDescent="0.25"/>
    <row r="23" spans="3:8" x14ac:dyDescent="0.25">
      <c r="C23" s="52" t="s">
        <v>123</v>
      </c>
      <c r="D23" s="53">
        <v>6269.23</v>
      </c>
      <c r="E23" s="53">
        <v>5269</v>
      </c>
      <c r="G23" s="3"/>
      <c r="H23" s="3"/>
    </row>
    <row r="24" spans="3:8" x14ac:dyDescent="0.25">
      <c r="C24" s="52" t="s">
        <v>119</v>
      </c>
      <c r="D24" s="53">
        <v>284.33499999999998</v>
      </c>
      <c r="E24" s="53">
        <v>280</v>
      </c>
      <c r="G24" s="3"/>
      <c r="H24" s="3"/>
    </row>
    <row r="25" spans="3:8" x14ac:dyDescent="0.25">
      <c r="C25" s="52" t="s">
        <v>124</v>
      </c>
      <c r="D25" s="53">
        <v>2473.9650000000011</v>
      </c>
      <c r="E25" s="53">
        <v>2302</v>
      </c>
      <c r="G25" s="3"/>
      <c r="H25" s="3"/>
    </row>
    <row r="26" spans="3:8" x14ac:dyDescent="0.25">
      <c r="C26" s="59" t="s">
        <v>125</v>
      </c>
      <c r="D26" s="60">
        <f>SUM(D23:D25)</f>
        <v>9027.5300000000007</v>
      </c>
      <c r="E26" s="60">
        <f>SUM(E23:E25)</f>
        <v>7851</v>
      </c>
      <c r="G26" s="3"/>
      <c r="H26" s="3"/>
    </row>
    <row r="27" spans="3:8" ht="2.1" customHeight="1" x14ac:dyDescent="0.25"/>
    <row r="28" spans="3:8" x14ac:dyDescent="0.25">
      <c r="C28" s="52" t="s">
        <v>126</v>
      </c>
      <c r="D28" s="53">
        <v>3965.8240000000001</v>
      </c>
      <c r="E28" s="53">
        <v>4017</v>
      </c>
      <c r="G28" s="3"/>
      <c r="H28" s="3"/>
    </row>
    <row r="29" spans="3:8" x14ac:dyDescent="0.25">
      <c r="C29" s="52" t="s">
        <v>127</v>
      </c>
      <c r="D29" s="53">
        <v>219.74599999999987</v>
      </c>
      <c r="E29" s="53">
        <v>184</v>
      </c>
      <c r="G29" s="3"/>
      <c r="H29" s="3"/>
    </row>
    <row r="30" spans="3:8" x14ac:dyDescent="0.25">
      <c r="C30" s="52" t="s">
        <v>128</v>
      </c>
      <c r="D30" s="53">
        <v>1586.943</v>
      </c>
      <c r="E30" s="53">
        <v>1679</v>
      </c>
      <c r="G30" s="3"/>
      <c r="H30" s="3"/>
    </row>
    <row r="31" spans="3:8" x14ac:dyDescent="0.25">
      <c r="C31" s="59" t="s">
        <v>24</v>
      </c>
      <c r="D31" s="60">
        <f>SUM(D28:D30)</f>
        <v>5772.5129999999999</v>
      </c>
      <c r="E31" s="60">
        <f>SUM(E28:E30)</f>
        <v>5880</v>
      </c>
      <c r="G31" s="3"/>
      <c r="H31" s="3"/>
    </row>
    <row r="32" spans="3:8" ht="8.1" customHeight="1" x14ac:dyDescent="0.25"/>
    <row r="33" spans="3:8" x14ac:dyDescent="0.25">
      <c r="C33" s="54" t="s">
        <v>129</v>
      </c>
      <c r="D33" s="55">
        <f>SUM(D21,D26,D31)+1</f>
        <v>18969.100999999999</v>
      </c>
      <c r="E33" s="55">
        <f>SUM(E21,E26,E31)</f>
        <v>18586</v>
      </c>
      <c r="G33" s="3"/>
      <c r="H33" s="3"/>
    </row>
    <row r="35" spans="3:8" x14ac:dyDescent="0.25">
      <c r="C35" s="40" t="s">
        <v>130</v>
      </c>
      <c r="D35" s="3">
        <f>SUM(D17:D18,D23:D24)-D4</f>
        <v>8276.1039999999994</v>
      </c>
      <c r="E35" s="3">
        <f>SUM(E17:E18,E23:E24)-E4</f>
        <v>7345</v>
      </c>
    </row>
  </sheetData>
  <pageMargins left="0.7" right="0.7" top="0.75" bottom="0.75" header="0.3" footer="0.3"/>
  <pageSetup paperSize="9" orientation="portrait" r:id="rId1"/>
  <headerFooter>
    <oddFooter>&amp;RHizmete Özel</oddFooter>
    <evenFooter>&amp;RHizmete Özel</evenFooter>
    <firstFooter>&amp;RHizmete Özel</first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K65"/>
  <sheetViews>
    <sheetView showGridLines="0" zoomScale="80" zoomScaleNormal="80" workbookViewId="0"/>
  </sheetViews>
  <sheetFormatPr defaultColWidth="8.85546875" defaultRowHeight="15" x14ac:dyDescent="0.25"/>
  <cols>
    <col min="1" max="1" width="8.85546875" style="40"/>
    <col min="2" max="2" width="54.140625" style="40" customWidth="1"/>
    <col min="3" max="9" width="10.5703125" style="40" customWidth="1"/>
    <col min="10" max="10" width="2.42578125" style="24" customWidth="1"/>
    <col min="11" max="16384" width="8.85546875" style="40"/>
  </cols>
  <sheetData>
    <row r="1" spans="2:10" x14ac:dyDescent="0.25">
      <c r="C1" s="3"/>
      <c r="D1" s="3"/>
      <c r="E1" s="3"/>
      <c r="F1" s="25"/>
      <c r="G1" s="25"/>
      <c r="H1" s="25"/>
      <c r="I1" s="25"/>
    </row>
    <row r="2" spans="2:10" x14ac:dyDescent="0.25">
      <c r="B2" s="18" t="s">
        <v>38</v>
      </c>
      <c r="C2" s="86" t="s">
        <v>71</v>
      </c>
      <c r="D2" s="86" t="s">
        <v>71</v>
      </c>
      <c r="E2" s="86" t="s">
        <v>71</v>
      </c>
      <c r="F2" s="86" t="s">
        <v>71</v>
      </c>
      <c r="G2" s="86" t="s">
        <v>71</v>
      </c>
      <c r="H2" s="86" t="s">
        <v>71</v>
      </c>
      <c r="I2" s="86" t="s">
        <v>22</v>
      </c>
      <c r="J2" s="32"/>
    </row>
    <row r="3" spans="2:10" ht="15.75" thickBot="1" x14ac:dyDescent="0.3">
      <c r="B3" s="87" t="s">
        <v>0</v>
      </c>
      <c r="C3" s="88">
        <v>2014</v>
      </c>
      <c r="D3" s="88">
        <v>2015</v>
      </c>
      <c r="E3" s="88">
        <v>2016</v>
      </c>
      <c r="F3" s="88">
        <v>2017</v>
      </c>
      <c r="G3" s="88">
        <v>2018</v>
      </c>
      <c r="H3" s="88">
        <v>2019</v>
      </c>
      <c r="I3" s="89" t="s">
        <v>190</v>
      </c>
      <c r="J3" s="32"/>
    </row>
    <row r="4" spans="2:10" x14ac:dyDescent="0.25">
      <c r="B4" s="8" t="s">
        <v>162</v>
      </c>
      <c r="C4" s="9">
        <v>8064.4210000000003</v>
      </c>
      <c r="D4" s="9">
        <v>9153.6139999999996</v>
      </c>
      <c r="E4" s="9">
        <v>9103.3799999999992</v>
      </c>
      <c r="F4" s="9">
        <v>12345</v>
      </c>
      <c r="G4" s="9">
        <v>18347</v>
      </c>
      <c r="H4" s="9">
        <v>19453</v>
      </c>
      <c r="I4" s="9">
        <f>H4-G4</f>
        <v>1106</v>
      </c>
    </row>
    <row r="5" spans="2:10" x14ac:dyDescent="0.25">
      <c r="B5" s="8" t="s">
        <v>163</v>
      </c>
      <c r="C5" s="9">
        <v>-6753.5110000000004</v>
      </c>
      <c r="D5" s="9">
        <v>-7108.12</v>
      </c>
      <c r="E5" s="9">
        <v>-6500.9560000000001</v>
      </c>
      <c r="F5" s="9">
        <v>-8412</v>
      </c>
      <c r="G5" s="9">
        <v>-12380</v>
      </c>
      <c r="H5" s="9">
        <v>-14109</v>
      </c>
      <c r="I5" s="9">
        <f>H5-G5</f>
        <v>-1729</v>
      </c>
    </row>
    <row r="6" spans="2:10" x14ac:dyDescent="0.25">
      <c r="B6" s="81" t="s">
        <v>164</v>
      </c>
      <c r="C6" s="90">
        <f t="shared" ref="C6:E6" si="0">SUM(C4:C5)</f>
        <v>1310.9099999999999</v>
      </c>
      <c r="D6" s="90">
        <f t="shared" si="0"/>
        <v>2045.4939999999997</v>
      </c>
      <c r="E6" s="90">
        <f t="shared" si="0"/>
        <v>2602.4239999999991</v>
      </c>
      <c r="F6" s="90">
        <v>3932</v>
      </c>
      <c r="G6" s="90">
        <f>SUM(G4:G5)</f>
        <v>5967</v>
      </c>
      <c r="H6" s="90">
        <f>SUM(H4:H5)</f>
        <v>5344</v>
      </c>
      <c r="I6" s="90">
        <f t="shared" ref="I6:I46" si="1">H6-G6</f>
        <v>-623</v>
      </c>
      <c r="J6" s="91"/>
    </row>
    <row r="7" spans="2:10" x14ac:dyDescent="0.25">
      <c r="B7" s="8" t="s">
        <v>165</v>
      </c>
      <c r="C7" s="9">
        <v>-967.3</v>
      </c>
      <c r="D7" s="9">
        <v>-1079.79</v>
      </c>
      <c r="E7" s="9">
        <v>-1228</v>
      </c>
      <c r="F7" s="9">
        <v>-1519</v>
      </c>
      <c r="G7" s="9">
        <v>-1849</v>
      </c>
      <c r="H7" s="9">
        <v>-2170</v>
      </c>
      <c r="I7" s="9">
        <f t="shared" si="1"/>
        <v>-321</v>
      </c>
    </row>
    <row r="8" spans="2:10" x14ac:dyDescent="0.25">
      <c r="B8" s="8" t="s">
        <v>159</v>
      </c>
      <c r="C8" s="9">
        <v>-36</v>
      </c>
      <c r="D8" s="9">
        <v>72.599999999999994</v>
      </c>
      <c r="E8" s="9">
        <v>-102</v>
      </c>
      <c r="F8" s="9">
        <v>-173</v>
      </c>
      <c r="G8" s="9">
        <v>-1307</v>
      </c>
      <c r="H8" s="9">
        <v>-110</v>
      </c>
      <c r="I8" s="9">
        <f t="shared" si="1"/>
        <v>1197</v>
      </c>
    </row>
    <row r="9" spans="2:10" x14ac:dyDescent="0.25">
      <c r="B9" s="81" t="s">
        <v>166</v>
      </c>
      <c r="C9" s="90">
        <f>SUM(C6:C8)</f>
        <v>307.6099999999999</v>
      </c>
      <c r="D9" s="90">
        <f t="shared" ref="D9:E9" si="2">SUM(D6:D8)</f>
        <v>1038.3039999999996</v>
      </c>
      <c r="E9" s="90">
        <f t="shared" si="2"/>
        <v>1272.4239999999991</v>
      </c>
      <c r="F9" s="90">
        <v>2241</v>
      </c>
      <c r="G9" s="90">
        <f>SUM(G6:G8)</f>
        <v>2811</v>
      </c>
      <c r="H9" s="90">
        <f>SUM(H6:H8)</f>
        <v>3064</v>
      </c>
      <c r="I9" s="90">
        <f t="shared" si="1"/>
        <v>253</v>
      </c>
      <c r="J9" s="91"/>
    </row>
    <row r="10" spans="2:10" x14ac:dyDescent="0.25">
      <c r="B10" s="8" t="s">
        <v>150</v>
      </c>
      <c r="C10" s="9">
        <v>208.66300000000001</v>
      </c>
      <c r="D10" s="9">
        <v>219.4</v>
      </c>
      <c r="E10" s="9">
        <v>218</v>
      </c>
      <c r="F10" s="9">
        <v>235</v>
      </c>
      <c r="G10" s="9">
        <v>258</v>
      </c>
      <c r="H10" s="9">
        <v>373</v>
      </c>
      <c r="I10" s="9">
        <f t="shared" si="1"/>
        <v>115</v>
      </c>
    </row>
    <row r="11" spans="2:10" x14ac:dyDescent="0.25">
      <c r="B11" s="8" t="s">
        <v>178</v>
      </c>
      <c r="C11" s="92" t="s">
        <v>168</v>
      </c>
      <c r="D11" s="92" t="s">
        <v>168</v>
      </c>
      <c r="E11" s="92" t="s">
        <v>168</v>
      </c>
      <c r="F11" s="92" t="s">
        <v>168</v>
      </c>
      <c r="G11" s="9">
        <v>753</v>
      </c>
      <c r="H11" s="9">
        <v>0</v>
      </c>
      <c r="I11" s="9">
        <f t="shared" si="1"/>
        <v>-753</v>
      </c>
    </row>
    <row r="12" spans="2:10" x14ac:dyDescent="0.25">
      <c r="B12" s="8" t="s">
        <v>167</v>
      </c>
      <c r="C12" s="9">
        <v>16</v>
      </c>
      <c r="D12" s="9">
        <v>-60</v>
      </c>
      <c r="E12" s="9">
        <v>-16</v>
      </c>
      <c r="F12" s="92" t="s">
        <v>168</v>
      </c>
      <c r="G12" s="92" t="s">
        <v>168</v>
      </c>
      <c r="H12" s="92" t="s">
        <v>168</v>
      </c>
      <c r="I12" s="92" t="s">
        <v>168</v>
      </c>
    </row>
    <row r="13" spans="2:10" x14ac:dyDescent="0.25">
      <c r="B13" s="8" t="s">
        <v>175</v>
      </c>
      <c r="C13" s="92" t="s">
        <v>168</v>
      </c>
      <c r="D13" s="92" t="s">
        <v>168</v>
      </c>
      <c r="E13" s="92" t="s">
        <v>168</v>
      </c>
      <c r="F13" s="92" t="s">
        <v>168</v>
      </c>
      <c r="G13" s="92">
        <v>44</v>
      </c>
      <c r="H13" s="92">
        <v>4</v>
      </c>
      <c r="I13" s="92">
        <f t="shared" si="1"/>
        <v>-40</v>
      </c>
    </row>
    <row r="14" spans="2:10" x14ac:dyDescent="0.25">
      <c r="B14" s="8" t="s">
        <v>169</v>
      </c>
      <c r="C14" s="9">
        <v>43</v>
      </c>
      <c r="D14" s="9">
        <v>36</v>
      </c>
      <c r="E14" s="9">
        <v>40</v>
      </c>
      <c r="F14" s="9">
        <v>79</v>
      </c>
      <c r="G14" s="92">
        <v>243</v>
      </c>
      <c r="H14" s="92">
        <v>114</v>
      </c>
      <c r="I14" s="9">
        <f t="shared" si="1"/>
        <v>-129</v>
      </c>
    </row>
    <row r="15" spans="2:10" x14ac:dyDescent="0.25">
      <c r="B15" s="8" t="s">
        <v>84</v>
      </c>
      <c r="C15" s="9">
        <v>-5</v>
      </c>
      <c r="D15" s="9">
        <v>-2</v>
      </c>
      <c r="E15" s="9">
        <v>-19</v>
      </c>
      <c r="F15" s="9">
        <v>0</v>
      </c>
      <c r="G15" s="92">
        <v>-44</v>
      </c>
      <c r="H15" s="92">
        <v>-186</v>
      </c>
      <c r="I15" s="9">
        <f t="shared" si="1"/>
        <v>-142</v>
      </c>
    </row>
    <row r="16" spans="2:10" x14ac:dyDescent="0.25">
      <c r="B16" s="81" t="s">
        <v>2</v>
      </c>
      <c r="C16" s="90">
        <v>569</v>
      </c>
      <c r="D16" s="90">
        <f>SUM(D9:D15)</f>
        <v>1231.7039999999997</v>
      </c>
      <c r="E16" s="90">
        <f>SUM(E9:E15)</f>
        <v>1495.4239999999991</v>
      </c>
      <c r="F16" s="90">
        <f t="shared" ref="F16:H16" si="3">SUM(F9:F15)</f>
        <v>2555</v>
      </c>
      <c r="G16" s="90">
        <f t="shared" si="3"/>
        <v>4065</v>
      </c>
      <c r="H16" s="90">
        <f t="shared" si="3"/>
        <v>3369</v>
      </c>
      <c r="I16" s="90">
        <f t="shared" si="1"/>
        <v>-696</v>
      </c>
      <c r="J16" s="91"/>
    </row>
    <row r="17" spans="2:11" x14ac:dyDescent="0.25">
      <c r="B17" s="2" t="s">
        <v>13</v>
      </c>
      <c r="C17" s="4">
        <v>210</v>
      </c>
      <c r="D17" s="4">
        <v>200</v>
      </c>
      <c r="E17" s="4">
        <v>443</v>
      </c>
      <c r="F17" s="4">
        <v>592</v>
      </c>
      <c r="G17" s="9">
        <v>798</v>
      </c>
      <c r="H17" s="9">
        <v>1058</v>
      </c>
      <c r="I17" s="4">
        <f t="shared" si="1"/>
        <v>260</v>
      </c>
    </row>
    <row r="18" spans="2:11" x14ac:dyDescent="0.25">
      <c r="B18" s="81" t="s">
        <v>3</v>
      </c>
      <c r="C18" s="90">
        <f>SUM(C16:C17)</f>
        <v>779</v>
      </c>
      <c r="D18" s="90">
        <f t="shared" ref="D18:F18" si="4">SUM(D16:D17)</f>
        <v>1431.7039999999997</v>
      </c>
      <c r="E18" s="90">
        <f t="shared" si="4"/>
        <v>1938.4239999999991</v>
      </c>
      <c r="F18" s="90">
        <f t="shared" si="4"/>
        <v>3147</v>
      </c>
      <c r="G18" s="90">
        <f>SUM(G16:G17)+1</f>
        <v>4864</v>
      </c>
      <c r="H18" s="90">
        <f>SUM(H16:H17)</f>
        <v>4427</v>
      </c>
      <c r="I18" s="90">
        <f t="shared" si="1"/>
        <v>-437</v>
      </c>
      <c r="J18" s="91"/>
    </row>
    <row r="19" spans="2:11" x14ac:dyDescent="0.25">
      <c r="B19" s="2" t="s">
        <v>86</v>
      </c>
      <c r="C19" s="92" t="s">
        <v>168</v>
      </c>
      <c r="D19" s="4">
        <v>-332</v>
      </c>
      <c r="E19" s="92" t="s">
        <v>168</v>
      </c>
      <c r="F19" s="4">
        <v>-467</v>
      </c>
      <c r="G19" s="9">
        <v>-984</v>
      </c>
      <c r="H19" s="9">
        <v>230</v>
      </c>
      <c r="I19" s="4">
        <f t="shared" si="1"/>
        <v>1214</v>
      </c>
    </row>
    <row r="20" spans="2:11" x14ac:dyDescent="0.25">
      <c r="B20" s="2" t="s">
        <v>176</v>
      </c>
      <c r="C20" s="92" t="s">
        <v>168</v>
      </c>
      <c r="D20" s="92" t="s">
        <v>168</v>
      </c>
      <c r="E20" s="92" t="s">
        <v>168</v>
      </c>
      <c r="F20" s="4">
        <v>0</v>
      </c>
      <c r="G20" s="9">
        <v>107</v>
      </c>
      <c r="H20" s="9">
        <v>0</v>
      </c>
      <c r="I20" s="4">
        <f t="shared" si="1"/>
        <v>-107</v>
      </c>
    </row>
    <row r="21" spans="2:11" x14ac:dyDescent="0.25">
      <c r="B21" s="2" t="s">
        <v>170</v>
      </c>
      <c r="C21" s="92" t="s">
        <v>168</v>
      </c>
      <c r="D21" s="92" t="s">
        <v>168</v>
      </c>
      <c r="E21" s="92" t="s">
        <v>168</v>
      </c>
      <c r="F21" s="4">
        <v>-115</v>
      </c>
      <c r="G21" s="9">
        <v>-142</v>
      </c>
      <c r="H21" s="9">
        <v>-48</v>
      </c>
      <c r="I21" s="4">
        <f t="shared" si="1"/>
        <v>94</v>
      </c>
      <c r="K21" s="3"/>
    </row>
    <row r="22" spans="2:11" x14ac:dyDescent="0.25">
      <c r="B22" s="81" t="s">
        <v>28</v>
      </c>
      <c r="C22" s="90">
        <f>SUM(C18:C21)</f>
        <v>779</v>
      </c>
      <c r="D22" s="90">
        <f t="shared" ref="D22:H22" si="5">SUM(D18:D21)</f>
        <v>1099.7039999999997</v>
      </c>
      <c r="E22" s="90">
        <f t="shared" si="5"/>
        <v>1938.4239999999991</v>
      </c>
      <c r="F22" s="90">
        <f t="shared" si="5"/>
        <v>2565</v>
      </c>
      <c r="G22" s="90">
        <f t="shared" si="5"/>
        <v>3845</v>
      </c>
      <c r="H22" s="90">
        <f t="shared" si="5"/>
        <v>4609</v>
      </c>
      <c r="I22" s="90">
        <f t="shared" si="1"/>
        <v>764</v>
      </c>
      <c r="J22" s="91"/>
      <c r="K22" s="29"/>
    </row>
    <row r="23" spans="2:11" x14ac:dyDescent="0.25">
      <c r="B23" s="18"/>
      <c r="C23" s="19"/>
      <c r="D23" s="19"/>
      <c r="E23" s="19"/>
      <c r="F23" s="19"/>
      <c r="G23" s="19"/>
      <c r="H23" s="19"/>
      <c r="I23" s="19"/>
      <c r="K23" s="29"/>
    </row>
    <row r="24" spans="2:11" x14ac:dyDescent="0.25">
      <c r="B24" s="81" t="s">
        <v>2</v>
      </c>
      <c r="C24" s="90">
        <f>C16</f>
        <v>569</v>
      </c>
      <c r="D24" s="90">
        <f t="shared" ref="D24:H24" si="6">D16</f>
        <v>1231.7039999999997</v>
      </c>
      <c r="E24" s="90">
        <f t="shared" si="6"/>
        <v>1495.4239999999991</v>
      </c>
      <c r="F24" s="90">
        <f t="shared" si="6"/>
        <v>2555</v>
      </c>
      <c r="G24" s="90">
        <f t="shared" si="6"/>
        <v>4065</v>
      </c>
      <c r="H24" s="90">
        <f t="shared" si="6"/>
        <v>3369</v>
      </c>
      <c r="I24" s="90">
        <f t="shared" si="1"/>
        <v>-696</v>
      </c>
      <c r="J24" s="91"/>
    </row>
    <row r="25" spans="2:11" x14ac:dyDescent="0.25">
      <c r="B25" s="8" t="s">
        <v>40</v>
      </c>
      <c r="C25" s="9">
        <f t="shared" ref="C25:H25" si="7">-C10</f>
        <v>-208.66300000000001</v>
      </c>
      <c r="D25" s="9">
        <f t="shared" si="7"/>
        <v>-219.4</v>
      </c>
      <c r="E25" s="9">
        <f t="shared" si="7"/>
        <v>-218</v>
      </c>
      <c r="F25" s="9">
        <f t="shared" si="7"/>
        <v>-235</v>
      </c>
      <c r="G25" s="9">
        <f t="shared" si="7"/>
        <v>-258</v>
      </c>
      <c r="H25" s="9">
        <f t="shared" si="7"/>
        <v>-373</v>
      </c>
      <c r="I25" s="9">
        <f t="shared" si="1"/>
        <v>-115</v>
      </c>
    </row>
    <row r="26" spans="2:11" x14ac:dyDescent="0.25">
      <c r="B26" s="8" t="s">
        <v>178</v>
      </c>
      <c r="C26" s="92" t="s">
        <v>168</v>
      </c>
      <c r="D26" s="92" t="s">
        <v>168</v>
      </c>
      <c r="E26" s="92" t="s">
        <v>168</v>
      </c>
      <c r="F26" s="92" t="s">
        <v>168</v>
      </c>
      <c r="G26" s="9">
        <f>-G11</f>
        <v>-753</v>
      </c>
      <c r="H26" s="92" t="s">
        <v>168</v>
      </c>
      <c r="I26" s="92" t="s">
        <v>168</v>
      </c>
    </row>
    <row r="27" spans="2:11" x14ac:dyDescent="0.25">
      <c r="B27" s="8" t="s">
        <v>167</v>
      </c>
      <c r="C27" s="9">
        <f>-C12</f>
        <v>-16</v>
      </c>
      <c r="D27" s="9">
        <f>-D12</f>
        <v>60</v>
      </c>
      <c r="E27" s="9">
        <f>-E12</f>
        <v>16</v>
      </c>
      <c r="F27" s="92" t="s">
        <v>168</v>
      </c>
      <c r="G27" s="92" t="s">
        <v>168</v>
      </c>
      <c r="H27" s="92" t="s">
        <v>168</v>
      </c>
      <c r="I27" s="92" t="s">
        <v>168</v>
      </c>
    </row>
    <row r="28" spans="2:11" x14ac:dyDescent="0.25">
      <c r="B28" s="8" t="s">
        <v>20</v>
      </c>
      <c r="C28" s="9">
        <f t="shared" ref="C28:G28" si="8">C29+C31+C33+C35</f>
        <v>-608.46</v>
      </c>
      <c r="D28" s="9">
        <f t="shared" si="8"/>
        <v>-609.69000000000005</v>
      </c>
      <c r="E28" s="9">
        <f t="shared" si="8"/>
        <v>-779.56</v>
      </c>
      <c r="F28" s="9">
        <f t="shared" si="8"/>
        <v>-1036</v>
      </c>
      <c r="G28" s="9">
        <f t="shared" si="8"/>
        <v>-1732</v>
      </c>
      <c r="H28" s="9">
        <f>H29+H31+H33+H35+H34</f>
        <v>-1604</v>
      </c>
      <c r="I28" s="9">
        <f t="shared" si="1"/>
        <v>128</v>
      </c>
    </row>
    <row r="29" spans="2:11" x14ac:dyDescent="0.25">
      <c r="B29" s="20" t="s">
        <v>180</v>
      </c>
      <c r="C29" s="9">
        <v>-517.46</v>
      </c>
      <c r="D29" s="9">
        <v>-526.69000000000005</v>
      </c>
      <c r="E29" s="9">
        <v>-725.56</v>
      </c>
      <c r="F29" s="9">
        <v>-863</v>
      </c>
      <c r="G29" s="9">
        <v>-1159</v>
      </c>
      <c r="H29" s="9">
        <v>-1375</v>
      </c>
      <c r="I29" s="9">
        <f t="shared" si="1"/>
        <v>-216</v>
      </c>
    </row>
    <row r="30" spans="2:11" x14ac:dyDescent="0.25">
      <c r="B30" s="20" t="s">
        <v>181</v>
      </c>
      <c r="C30" s="9"/>
      <c r="D30" s="12">
        <v>9.7315847766867136E-2</v>
      </c>
      <c r="E30" s="12">
        <v>0.12236587152326026</v>
      </c>
      <c r="F30" s="12">
        <v>0.128</v>
      </c>
      <c r="G30" s="12">
        <v>0.17078241062162658</v>
      </c>
      <c r="H30" s="12">
        <v>0.18125985532402955</v>
      </c>
      <c r="I30" s="12">
        <f t="shared" si="1"/>
        <v>1.0477444702402972E-2</v>
      </c>
    </row>
    <row r="31" spans="2:11" x14ac:dyDescent="0.25">
      <c r="B31" s="20" t="s">
        <v>182</v>
      </c>
      <c r="C31" s="9">
        <v>-39</v>
      </c>
      <c r="D31" s="9">
        <v>-37</v>
      </c>
      <c r="E31" s="9">
        <v>-24</v>
      </c>
      <c r="F31" s="9">
        <v>-138</v>
      </c>
      <c r="G31" s="9">
        <v>-435</v>
      </c>
      <c r="H31" s="9">
        <v>-212</v>
      </c>
      <c r="I31" s="9">
        <f t="shared" si="1"/>
        <v>223</v>
      </c>
    </row>
    <row r="32" spans="2:11" x14ac:dyDescent="0.25">
      <c r="B32" s="20" t="s">
        <v>183</v>
      </c>
      <c r="C32" s="9"/>
      <c r="D32" s="12">
        <v>0.10271374038139168</v>
      </c>
      <c r="E32" s="12">
        <v>6.7310452411078053E-2</v>
      </c>
      <c r="F32" s="12">
        <v>0.15222580413129241</v>
      </c>
      <c r="G32" s="12">
        <v>0.28209196038237444</v>
      </c>
      <c r="H32" s="12">
        <v>0.12853092515001147</v>
      </c>
      <c r="I32" s="12">
        <f t="shared" si="1"/>
        <v>-0.15356103523236297</v>
      </c>
    </row>
    <row r="33" spans="2:10" x14ac:dyDescent="0.25">
      <c r="B33" s="20" t="s">
        <v>64</v>
      </c>
      <c r="C33" s="9">
        <v>-43</v>
      </c>
      <c r="D33" s="9">
        <v>-36</v>
      </c>
      <c r="E33" s="9">
        <v>-40</v>
      </c>
      <c r="F33" s="9">
        <v>-79</v>
      </c>
      <c r="G33" s="9">
        <v>-243</v>
      </c>
      <c r="H33" s="9">
        <v>-114</v>
      </c>
      <c r="I33" s="9">
        <f t="shared" si="1"/>
        <v>129</v>
      </c>
    </row>
    <row r="34" spans="2:10" x14ac:dyDescent="0.25">
      <c r="B34" s="20" t="s">
        <v>189</v>
      </c>
      <c r="C34" s="92" t="s">
        <v>168</v>
      </c>
      <c r="D34" s="92" t="s">
        <v>168</v>
      </c>
      <c r="E34" s="92" t="s">
        <v>168</v>
      </c>
      <c r="F34" s="92" t="s">
        <v>168</v>
      </c>
      <c r="G34" s="92" t="s">
        <v>168</v>
      </c>
      <c r="H34" s="92">
        <v>-36</v>
      </c>
      <c r="I34" s="9">
        <f>H34</f>
        <v>-36</v>
      </c>
    </row>
    <row r="35" spans="2:10" x14ac:dyDescent="0.25">
      <c r="B35" s="20" t="s">
        <v>12</v>
      </c>
      <c r="C35" s="9">
        <v>-9</v>
      </c>
      <c r="D35" s="9">
        <v>-10</v>
      </c>
      <c r="E35" s="9">
        <v>10</v>
      </c>
      <c r="F35" s="9">
        <v>44</v>
      </c>
      <c r="G35" s="9">
        <v>105</v>
      </c>
      <c r="H35" s="9">
        <v>133</v>
      </c>
      <c r="I35" s="9">
        <f t="shared" si="1"/>
        <v>28</v>
      </c>
    </row>
    <row r="36" spans="2:10" x14ac:dyDescent="0.25">
      <c r="B36" s="8" t="s">
        <v>21</v>
      </c>
      <c r="C36" s="9">
        <v>-13</v>
      </c>
      <c r="D36" s="9">
        <v>-127</v>
      </c>
      <c r="E36" s="9">
        <v>-137</v>
      </c>
      <c r="F36" s="9">
        <v>-296</v>
      </c>
      <c r="G36" s="9">
        <v>-574</v>
      </c>
      <c r="H36" s="9">
        <v>-358</v>
      </c>
      <c r="I36" s="9">
        <f t="shared" si="1"/>
        <v>216</v>
      </c>
    </row>
    <row r="37" spans="2:10" x14ac:dyDescent="0.25">
      <c r="B37" s="81" t="s">
        <v>26</v>
      </c>
      <c r="C37" s="90">
        <f t="shared" ref="C37:H37" si="9">SUM(C24:C28,C36)</f>
        <v>-277.12300000000005</v>
      </c>
      <c r="D37" s="90">
        <f t="shared" si="9"/>
        <v>335.61399999999958</v>
      </c>
      <c r="E37" s="90">
        <f t="shared" si="9"/>
        <v>376.86399999999912</v>
      </c>
      <c r="F37" s="90">
        <f t="shared" si="9"/>
        <v>988</v>
      </c>
      <c r="G37" s="90">
        <f t="shared" si="9"/>
        <v>748</v>
      </c>
      <c r="H37" s="90">
        <f t="shared" si="9"/>
        <v>1034</v>
      </c>
      <c r="I37" s="90">
        <f t="shared" si="1"/>
        <v>286</v>
      </c>
      <c r="J37" s="91"/>
    </row>
    <row r="38" spans="2:10" x14ac:dyDescent="0.25">
      <c r="B38" s="2" t="s">
        <v>86</v>
      </c>
      <c r="C38" s="92" t="s">
        <v>168</v>
      </c>
      <c r="D38" s="4">
        <v>-266</v>
      </c>
      <c r="E38" s="92" t="s">
        <v>168</v>
      </c>
      <c r="F38" s="4">
        <v>-373.6</v>
      </c>
      <c r="G38" s="4">
        <v>-768</v>
      </c>
      <c r="H38" s="4">
        <v>179</v>
      </c>
      <c r="I38" s="4">
        <f t="shared" si="1"/>
        <v>947</v>
      </c>
    </row>
    <row r="39" spans="2:10" x14ac:dyDescent="0.25">
      <c r="B39" s="2" t="s">
        <v>176</v>
      </c>
      <c r="C39" s="92" t="s">
        <v>168</v>
      </c>
      <c r="D39" s="92" t="s">
        <v>168</v>
      </c>
      <c r="E39" s="92" t="s">
        <v>168</v>
      </c>
      <c r="F39" s="92" t="s">
        <v>168</v>
      </c>
      <c r="G39" s="4">
        <v>107</v>
      </c>
      <c r="H39" s="92" t="s">
        <v>168</v>
      </c>
      <c r="I39" s="4">
        <f>-G39</f>
        <v>-107</v>
      </c>
    </row>
    <row r="40" spans="2:10" x14ac:dyDescent="0.25">
      <c r="B40" s="2" t="s">
        <v>184</v>
      </c>
      <c r="C40" s="92" t="s">
        <v>168</v>
      </c>
      <c r="D40" s="92" t="s">
        <v>168</v>
      </c>
      <c r="E40" s="92" t="s">
        <v>168</v>
      </c>
      <c r="F40" s="92" t="s">
        <v>168</v>
      </c>
      <c r="G40" s="4">
        <v>753</v>
      </c>
      <c r="H40" s="92" t="s">
        <v>168</v>
      </c>
      <c r="I40" s="4">
        <f>-G40</f>
        <v>-753</v>
      </c>
    </row>
    <row r="41" spans="2:10" x14ac:dyDescent="0.25">
      <c r="B41" s="2" t="s">
        <v>170</v>
      </c>
      <c r="C41" s="92" t="s">
        <v>168</v>
      </c>
      <c r="D41" s="92" t="s">
        <v>168</v>
      </c>
      <c r="E41" s="92" t="s">
        <v>168</v>
      </c>
      <c r="F41" s="4">
        <v>-92</v>
      </c>
      <c r="G41" s="4">
        <v>-110</v>
      </c>
      <c r="H41" s="4">
        <v>-38</v>
      </c>
      <c r="I41" s="4">
        <f t="shared" si="1"/>
        <v>72</v>
      </c>
    </row>
    <row r="42" spans="2:10" x14ac:dyDescent="0.25">
      <c r="B42" s="81" t="s">
        <v>39</v>
      </c>
      <c r="C42" s="90">
        <f t="shared" ref="C42:H42" si="10">SUM(C37:C41)</f>
        <v>-277.12300000000005</v>
      </c>
      <c r="D42" s="90">
        <f t="shared" si="10"/>
        <v>69.613999999999578</v>
      </c>
      <c r="E42" s="90">
        <f t="shared" si="10"/>
        <v>376.86399999999912</v>
      </c>
      <c r="F42" s="90">
        <f t="shared" si="10"/>
        <v>522.4</v>
      </c>
      <c r="G42" s="90">
        <f t="shared" si="10"/>
        <v>730</v>
      </c>
      <c r="H42" s="90">
        <f t="shared" si="10"/>
        <v>1175</v>
      </c>
      <c r="I42" s="90">
        <f t="shared" si="1"/>
        <v>445</v>
      </c>
      <c r="J42" s="91"/>
    </row>
    <row r="43" spans="2:10" x14ac:dyDescent="0.25">
      <c r="B43" s="8" t="s">
        <v>65</v>
      </c>
      <c r="C43" s="93">
        <v>-0.23463744092417899</v>
      </c>
      <c r="D43" s="93">
        <v>5.894151987563534E-2</v>
      </c>
      <c r="E43" s="93">
        <v>0.31908720869956497</v>
      </c>
      <c r="F43" s="93">
        <v>0.442311172796163</v>
      </c>
      <c r="G43" s="34">
        <v>0.61808414268989076</v>
      </c>
      <c r="H43" s="34">
        <v>0.99486146254879682</v>
      </c>
      <c r="I43" s="93">
        <f t="shared" si="1"/>
        <v>0.37677731985890606</v>
      </c>
    </row>
    <row r="44" spans="2:10" x14ac:dyDescent="0.25">
      <c r="B44" s="8" t="s">
        <v>41</v>
      </c>
      <c r="C44" s="10" t="s">
        <v>168</v>
      </c>
      <c r="D44" s="10" t="s">
        <v>168</v>
      </c>
      <c r="E44" s="10" t="s">
        <v>168</v>
      </c>
      <c r="F44" s="10">
        <v>0.68</v>
      </c>
      <c r="G44" s="10">
        <v>0.64740941731074941</v>
      </c>
      <c r="H44" s="10">
        <v>0.60309906382978717</v>
      </c>
      <c r="I44" s="10">
        <f t="shared" si="1"/>
        <v>-4.4310353480962239E-2</v>
      </c>
    </row>
    <row r="45" spans="2:10" x14ac:dyDescent="0.25">
      <c r="B45" s="8" t="s">
        <v>62</v>
      </c>
      <c r="C45" s="10" t="s">
        <v>168</v>
      </c>
      <c r="D45" s="10" t="s">
        <v>168</v>
      </c>
      <c r="E45" s="10" t="s">
        <v>168</v>
      </c>
      <c r="F45" s="9">
        <v>354.23200000000003</v>
      </c>
      <c r="G45" s="9">
        <v>471.60887463684708</v>
      </c>
      <c r="H45" s="9">
        <v>708.64139999999998</v>
      </c>
      <c r="I45" s="9">
        <f t="shared" si="1"/>
        <v>237.0325253631529</v>
      </c>
    </row>
    <row r="46" spans="2:10" x14ac:dyDescent="0.25">
      <c r="B46" s="8" t="s">
        <v>66</v>
      </c>
      <c r="C46" s="10" t="s">
        <v>168</v>
      </c>
      <c r="D46" s="10" t="s">
        <v>168</v>
      </c>
      <c r="E46" s="10" t="s">
        <v>168</v>
      </c>
      <c r="F46" s="34">
        <v>0.29992490689496631</v>
      </c>
      <c r="G46" s="34">
        <v>0.39930680406145175</v>
      </c>
      <c r="H46" s="34">
        <v>0.6</v>
      </c>
      <c r="I46" s="34">
        <f t="shared" si="1"/>
        <v>0.20069319593854823</v>
      </c>
    </row>
    <row r="47" spans="2:10" x14ac:dyDescent="0.25">
      <c r="B47" s="8"/>
      <c r="C47" s="33"/>
      <c r="D47" s="33"/>
      <c r="E47" s="33"/>
      <c r="F47" s="34"/>
      <c r="G47" s="34"/>
      <c r="H47" s="34"/>
      <c r="I47" s="34"/>
    </row>
    <row r="48" spans="2:10" x14ac:dyDescent="0.25">
      <c r="B48" s="81" t="s">
        <v>30</v>
      </c>
      <c r="C48" s="90">
        <v>146</v>
      </c>
      <c r="D48" s="90">
        <v>1095</v>
      </c>
      <c r="E48" s="90">
        <v>2004</v>
      </c>
      <c r="F48" s="90">
        <v>1923</v>
      </c>
      <c r="G48" s="90">
        <v>2122</v>
      </c>
      <c r="H48" s="90">
        <v>4168</v>
      </c>
      <c r="I48" s="90">
        <f>H48-G48</f>
        <v>2046</v>
      </c>
      <c r="J48" s="91"/>
    </row>
    <row r="49" spans="2:10" x14ac:dyDescent="0.25">
      <c r="B49" s="8" t="s">
        <v>14</v>
      </c>
      <c r="C49" s="9">
        <v>-525</v>
      </c>
      <c r="D49" s="9">
        <v>-1093</v>
      </c>
      <c r="E49" s="9">
        <v>-1560</v>
      </c>
      <c r="F49" s="9">
        <v>-1747</v>
      </c>
      <c r="G49" s="9">
        <v>-1602</v>
      </c>
      <c r="H49" s="9">
        <v>-1621</v>
      </c>
      <c r="I49" s="21">
        <f t="shared" ref="I49:I60" si="11">H49-G49</f>
        <v>-19</v>
      </c>
    </row>
    <row r="50" spans="2:10" x14ac:dyDescent="0.25">
      <c r="B50" s="81" t="s">
        <v>4</v>
      </c>
      <c r="C50" s="90">
        <f t="shared" ref="C50:H50" si="12">SUM(C48:C49)</f>
        <v>-379</v>
      </c>
      <c r="D50" s="90">
        <f t="shared" si="12"/>
        <v>2</v>
      </c>
      <c r="E50" s="90">
        <f t="shared" si="12"/>
        <v>444</v>
      </c>
      <c r="F50" s="90">
        <f t="shared" si="12"/>
        <v>176</v>
      </c>
      <c r="G50" s="90">
        <f t="shared" si="12"/>
        <v>520</v>
      </c>
      <c r="H50" s="90">
        <f t="shared" si="12"/>
        <v>2547</v>
      </c>
      <c r="I50" s="90">
        <f t="shared" si="11"/>
        <v>2027</v>
      </c>
      <c r="J50" s="91"/>
    </row>
    <row r="51" spans="2:10" x14ac:dyDescent="0.25">
      <c r="B51" s="8" t="s">
        <v>42</v>
      </c>
      <c r="C51" s="9">
        <v>-596</v>
      </c>
      <c r="D51" s="9">
        <v>-374.26</v>
      </c>
      <c r="E51" s="9">
        <v>-602</v>
      </c>
      <c r="F51" s="9">
        <v>-886</v>
      </c>
      <c r="G51" s="9">
        <v>-1047</v>
      </c>
      <c r="H51" s="9">
        <v>-1586</v>
      </c>
      <c r="I51" s="21">
        <f t="shared" si="11"/>
        <v>-539</v>
      </c>
    </row>
    <row r="52" spans="2:10" x14ac:dyDescent="0.25">
      <c r="B52" s="8" t="s">
        <v>43</v>
      </c>
      <c r="C52" s="21">
        <v>-48</v>
      </c>
      <c r="D52" s="21">
        <v>-73</v>
      </c>
      <c r="E52" s="21">
        <v>-145</v>
      </c>
      <c r="F52" s="21">
        <v>-65</v>
      </c>
      <c r="G52" s="9">
        <v>-35</v>
      </c>
      <c r="H52" s="9">
        <v>-456</v>
      </c>
      <c r="I52" s="21">
        <f t="shared" si="11"/>
        <v>-421</v>
      </c>
    </row>
    <row r="53" spans="2:10" x14ac:dyDescent="0.25">
      <c r="B53" s="81" t="s">
        <v>6</v>
      </c>
      <c r="C53" s="90">
        <f>SUM(C50:C52)</f>
        <v>-1023</v>
      </c>
      <c r="D53" s="90">
        <f>SUM(D50:D52)</f>
        <v>-445.26</v>
      </c>
      <c r="E53" s="90">
        <f>SUM(E50:E52)</f>
        <v>-303</v>
      </c>
      <c r="F53" s="90">
        <f>SUM(F50:F52)</f>
        <v>-775</v>
      </c>
      <c r="G53" s="90">
        <f t="shared" ref="G53:H53" si="13">SUM(G50:G52)</f>
        <v>-562</v>
      </c>
      <c r="H53" s="90">
        <f t="shared" si="13"/>
        <v>505</v>
      </c>
      <c r="I53" s="90">
        <f t="shared" si="11"/>
        <v>1067</v>
      </c>
      <c r="J53" s="91"/>
    </row>
    <row r="54" spans="2:10" x14ac:dyDescent="0.25">
      <c r="B54" s="2"/>
      <c r="C54" s="22"/>
      <c r="D54" s="1"/>
      <c r="E54" s="1"/>
      <c r="F54" s="1"/>
      <c r="G54" s="1"/>
      <c r="H54" s="1"/>
      <c r="I54" s="1"/>
    </row>
    <row r="55" spans="2:10" x14ac:dyDescent="0.25">
      <c r="B55" s="2" t="s">
        <v>187</v>
      </c>
      <c r="C55" s="92" t="s">
        <v>168</v>
      </c>
      <c r="D55" s="1">
        <v>5461</v>
      </c>
      <c r="E55" s="1">
        <v>6083</v>
      </c>
      <c r="F55" s="6">
        <v>6490</v>
      </c>
      <c r="G55" s="6">
        <v>7303</v>
      </c>
      <c r="H55" s="6">
        <v>8702</v>
      </c>
      <c r="I55" s="6">
        <f t="shared" si="11"/>
        <v>1399</v>
      </c>
    </row>
    <row r="56" spans="2:10" x14ac:dyDescent="0.25">
      <c r="B56" s="11" t="s">
        <v>6</v>
      </c>
      <c r="C56" s="92" t="s">
        <v>168</v>
      </c>
      <c r="D56" s="6">
        <v>445.26</v>
      </c>
      <c r="E56" s="6">
        <v>303</v>
      </c>
      <c r="F56" s="6">
        <v>775</v>
      </c>
      <c r="G56" s="6">
        <v>562</v>
      </c>
      <c r="H56" s="6">
        <v>-505</v>
      </c>
      <c r="I56" s="6">
        <f t="shared" si="11"/>
        <v>-1067</v>
      </c>
    </row>
    <row r="57" spans="2:10" x14ac:dyDescent="0.25">
      <c r="B57" s="11" t="s">
        <v>44</v>
      </c>
      <c r="C57" s="92" t="s">
        <v>168</v>
      </c>
      <c r="D57" s="92" t="s">
        <v>168</v>
      </c>
      <c r="E57" s="92" t="s">
        <v>168</v>
      </c>
      <c r="F57" s="92" t="s">
        <v>168</v>
      </c>
      <c r="G57" s="6">
        <v>354</v>
      </c>
      <c r="H57" s="6">
        <v>471.60887463684708</v>
      </c>
      <c r="I57" s="6">
        <f t="shared" si="11"/>
        <v>117.60887463684708</v>
      </c>
    </row>
    <row r="58" spans="2:10" x14ac:dyDescent="0.25">
      <c r="B58" s="11" t="s">
        <v>45</v>
      </c>
      <c r="C58" s="92" t="s">
        <v>168</v>
      </c>
      <c r="D58" s="6">
        <v>176.74</v>
      </c>
      <c r="E58" s="6">
        <v>107</v>
      </c>
      <c r="F58" s="6">
        <v>38</v>
      </c>
      <c r="G58" s="6">
        <v>483</v>
      </c>
      <c r="H58" s="6">
        <v>178.18412536315191</v>
      </c>
      <c r="I58" s="6">
        <f t="shared" si="11"/>
        <v>-304.81587463684809</v>
      </c>
    </row>
    <row r="59" spans="2:10" x14ac:dyDescent="0.25">
      <c r="B59" s="2" t="s">
        <v>188</v>
      </c>
      <c r="C59" s="6">
        <v>5461</v>
      </c>
      <c r="D59" s="6">
        <v>6083</v>
      </c>
      <c r="E59" s="6">
        <v>6493</v>
      </c>
      <c r="F59" s="6">
        <v>7303</v>
      </c>
      <c r="G59" s="6">
        <v>8702</v>
      </c>
      <c r="H59" s="6">
        <v>8846.7929999999997</v>
      </c>
      <c r="I59" s="6">
        <f t="shared" si="11"/>
        <v>144.79299999999967</v>
      </c>
    </row>
    <row r="60" spans="2:10" x14ac:dyDescent="0.25">
      <c r="B60" s="81" t="s">
        <v>196</v>
      </c>
      <c r="C60" s="94">
        <f>ROUND(C59/C22,1)</f>
        <v>7</v>
      </c>
      <c r="D60" s="94">
        <f>ROUND(D59/D22,1)</f>
        <v>5.5</v>
      </c>
      <c r="E60" s="94">
        <v>3.4</v>
      </c>
      <c r="F60" s="94">
        <f>ROUND(F59/F22,1)</f>
        <v>2.8</v>
      </c>
      <c r="G60" s="94">
        <f>ROUND(G59/G22,1)</f>
        <v>2.2999999999999998</v>
      </c>
      <c r="H60" s="94">
        <f>ROUND(H59/H22,1)</f>
        <v>1.9</v>
      </c>
      <c r="I60" s="94">
        <f t="shared" si="11"/>
        <v>-0.39999999999999991</v>
      </c>
      <c r="J60" s="91"/>
    </row>
    <row r="61" spans="2:10" x14ac:dyDescent="0.25">
      <c r="B61" s="18"/>
      <c r="C61" s="30"/>
      <c r="D61" s="30"/>
      <c r="E61" s="30"/>
      <c r="F61" s="30"/>
      <c r="G61" s="30"/>
      <c r="H61" s="30"/>
      <c r="I61" s="30"/>
    </row>
    <row r="62" spans="2:10" x14ac:dyDescent="0.25">
      <c r="C62" s="3"/>
      <c r="E62" s="3"/>
      <c r="F62" s="3"/>
      <c r="G62" s="3"/>
      <c r="H62" s="3"/>
      <c r="I62" s="3"/>
    </row>
    <row r="63" spans="2:10" x14ac:dyDescent="0.25">
      <c r="C63" s="3"/>
      <c r="E63" s="3"/>
      <c r="F63" s="3"/>
      <c r="G63" s="3"/>
      <c r="H63" s="3"/>
      <c r="I63" s="3"/>
    </row>
    <row r="64" spans="2:10" x14ac:dyDescent="0.25">
      <c r="C64" s="3"/>
      <c r="E64" s="78"/>
      <c r="F64" s="78"/>
      <c r="G64" s="3"/>
      <c r="H64" s="3"/>
      <c r="I64" s="3"/>
    </row>
    <row r="65" spans="7:8" x14ac:dyDescent="0.25">
      <c r="G65" s="3"/>
      <c r="H65" s="3"/>
    </row>
  </sheetData>
  <pageMargins left="0.7" right="0.7" top="0.75" bottom="0.75" header="0.3" footer="0.3"/>
  <pageSetup paperSize="9" scale="63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K35"/>
  <sheetViews>
    <sheetView showGridLines="0" zoomScaleNormal="100" workbookViewId="0"/>
  </sheetViews>
  <sheetFormatPr defaultColWidth="8.85546875" defaultRowHeight="15" x14ac:dyDescent="0.25"/>
  <cols>
    <col min="1" max="1" width="8.85546875" style="40"/>
    <col min="2" max="2" width="46.28515625" style="40" customWidth="1"/>
    <col min="3" max="9" width="10.5703125" style="40" customWidth="1"/>
    <col min="10" max="10" width="1.5703125" style="40" customWidth="1"/>
    <col min="11" max="16384" width="8.85546875" style="40"/>
  </cols>
  <sheetData>
    <row r="1" spans="2:10" x14ac:dyDescent="0.25">
      <c r="C1" s="3"/>
      <c r="D1" s="3"/>
      <c r="E1" s="3"/>
      <c r="F1" s="25"/>
      <c r="G1" s="25"/>
      <c r="H1" s="25"/>
      <c r="I1" s="25"/>
    </row>
    <row r="2" spans="2:10" x14ac:dyDescent="0.25">
      <c r="B2" s="79"/>
      <c r="C2" s="82" t="s">
        <v>71</v>
      </c>
      <c r="D2" s="82" t="s">
        <v>71</v>
      </c>
      <c r="E2" s="82" t="s">
        <v>71</v>
      </c>
      <c r="F2" s="82" t="s">
        <v>71</v>
      </c>
      <c r="G2" s="82" t="s">
        <v>71</v>
      </c>
      <c r="H2" s="82" t="s">
        <v>71</v>
      </c>
      <c r="I2" s="82" t="s">
        <v>22</v>
      </c>
      <c r="J2" s="95"/>
    </row>
    <row r="3" spans="2:10" ht="15.75" thickBot="1" x14ac:dyDescent="0.3">
      <c r="B3" s="80"/>
      <c r="C3" s="83">
        <v>2014</v>
      </c>
      <c r="D3" s="83">
        <v>2015</v>
      </c>
      <c r="E3" s="83">
        <v>2016</v>
      </c>
      <c r="F3" s="83">
        <v>2017</v>
      </c>
      <c r="G3" s="83">
        <v>2018</v>
      </c>
      <c r="H3" s="83">
        <v>2019</v>
      </c>
      <c r="I3" s="96" t="s">
        <v>190</v>
      </c>
      <c r="J3" s="95"/>
    </row>
    <row r="4" spans="2:10" x14ac:dyDescent="0.25">
      <c r="B4" s="2" t="s">
        <v>33</v>
      </c>
      <c r="C4" s="35">
        <v>299.22800000000018</v>
      </c>
      <c r="D4" s="35">
        <v>311.61800000000056</v>
      </c>
      <c r="E4" s="35">
        <v>312.18900000000048</v>
      </c>
      <c r="F4" s="35">
        <v>334.85956230004615</v>
      </c>
      <c r="G4" s="35">
        <v>621</v>
      </c>
      <c r="H4" s="35">
        <v>657</v>
      </c>
      <c r="I4" s="35">
        <f>H4-G4</f>
        <v>36</v>
      </c>
      <c r="J4" s="43"/>
    </row>
    <row r="5" spans="2:10" x14ac:dyDescent="0.25">
      <c r="B5" s="2" t="s">
        <v>158</v>
      </c>
      <c r="C5" s="35">
        <v>22.606147221013639</v>
      </c>
      <c r="D5" s="35">
        <v>72.397000000000673</v>
      </c>
      <c r="E5" s="35">
        <v>144.58423525436825</v>
      </c>
      <c r="F5" s="35">
        <v>73.956999999999894</v>
      </c>
      <c r="G5" s="35">
        <v>46</v>
      </c>
      <c r="H5" s="35">
        <v>97</v>
      </c>
      <c r="I5" s="35">
        <f t="shared" ref="I5:I19" si="0">H5-G5</f>
        <v>51</v>
      </c>
      <c r="J5" s="43"/>
    </row>
    <row r="6" spans="2:10" x14ac:dyDescent="0.25">
      <c r="B6" s="2" t="s">
        <v>70</v>
      </c>
      <c r="C6" s="97" t="s">
        <v>168</v>
      </c>
      <c r="D6" s="97" t="s">
        <v>168</v>
      </c>
      <c r="E6" s="97" t="s">
        <v>168</v>
      </c>
      <c r="F6" s="97" t="s">
        <v>168</v>
      </c>
      <c r="G6" s="35">
        <v>11</v>
      </c>
      <c r="H6" s="35">
        <v>19</v>
      </c>
      <c r="I6" s="97">
        <f t="shared" si="0"/>
        <v>8</v>
      </c>
      <c r="J6" s="43"/>
    </row>
    <row r="7" spans="2:10" x14ac:dyDescent="0.25">
      <c r="B7" s="2" t="s">
        <v>15</v>
      </c>
      <c r="C7" s="35">
        <v>-173.78114722101355</v>
      </c>
      <c r="D7" s="35">
        <v>-223.7378191757397</v>
      </c>
      <c r="E7" s="35">
        <v>-230.84508382045973</v>
      </c>
      <c r="F7" s="35">
        <v>-246.28291100266162</v>
      </c>
      <c r="G7" s="35">
        <v>-323</v>
      </c>
      <c r="H7" s="35">
        <v>-325</v>
      </c>
      <c r="I7" s="35">
        <f t="shared" si="0"/>
        <v>-2</v>
      </c>
      <c r="J7" s="43"/>
    </row>
    <row r="8" spans="2:10" x14ac:dyDescent="0.25">
      <c r="B8" s="2" t="s">
        <v>34</v>
      </c>
      <c r="C8" s="35">
        <v>-2.8030000000000133</v>
      </c>
      <c r="D8" s="35">
        <v>119.44387599999999</v>
      </c>
      <c r="E8" s="35">
        <v>63.993000000000002</v>
      </c>
      <c r="F8" s="35">
        <v>84.246451050158001</v>
      </c>
      <c r="G8" s="35">
        <v>35</v>
      </c>
      <c r="H8" s="35">
        <v>111</v>
      </c>
      <c r="I8" s="35">
        <f t="shared" si="0"/>
        <v>76</v>
      </c>
      <c r="J8" s="43"/>
    </row>
    <row r="9" spans="2:10" x14ac:dyDescent="0.25">
      <c r="B9" s="11" t="s">
        <v>35</v>
      </c>
      <c r="C9" s="35">
        <v>-165.72300000000001</v>
      </c>
      <c r="D9" s="35">
        <v>-131.27500000000001</v>
      </c>
      <c r="E9" s="35">
        <v>-86.338178999999997</v>
      </c>
      <c r="F9" s="35">
        <v>-75.184078999999997</v>
      </c>
      <c r="G9" s="35">
        <v>-84</v>
      </c>
      <c r="H9" s="35">
        <v>-63</v>
      </c>
      <c r="I9" s="35">
        <f t="shared" si="0"/>
        <v>21</v>
      </c>
      <c r="J9" s="43"/>
    </row>
    <row r="10" spans="2:10" x14ac:dyDescent="0.25">
      <c r="B10" s="11" t="s">
        <v>18</v>
      </c>
      <c r="C10" s="35">
        <v>79.484999999999999</v>
      </c>
      <c r="D10" s="35">
        <v>86.367000000000004</v>
      </c>
      <c r="E10" s="35">
        <v>66.784000000000006</v>
      </c>
      <c r="F10" s="35">
        <v>70.993078999999994</v>
      </c>
      <c r="G10" s="35">
        <v>84</v>
      </c>
      <c r="H10" s="35">
        <v>144</v>
      </c>
      <c r="I10" s="35">
        <f t="shared" si="0"/>
        <v>60</v>
      </c>
      <c r="J10" s="43"/>
    </row>
    <row r="11" spans="2:10" x14ac:dyDescent="0.25">
      <c r="B11" s="11" t="s">
        <v>36</v>
      </c>
      <c r="C11" s="35">
        <v>98</v>
      </c>
      <c r="D11" s="35">
        <v>156</v>
      </c>
      <c r="E11" s="35">
        <v>90</v>
      </c>
      <c r="F11" s="35">
        <v>93</v>
      </c>
      <c r="G11" s="35">
        <v>58</v>
      </c>
      <c r="H11" s="35">
        <v>39</v>
      </c>
      <c r="I11" s="35">
        <f t="shared" si="0"/>
        <v>-19</v>
      </c>
      <c r="J11" s="43"/>
    </row>
    <row r="12" spans="2:10" x14ac:dyDescent="0.25">
      <c r="B12" s="11" t="s">
        <v>12</v>
      </c>
      <c r="C12" s="35">
        <v>-14.565</v>
      </c>
      <c r="D12" s="35">
        <v>8.3518759999999972</v>
      </c>
      <c r="E12" s="35">
        <v>-6.4528210000000072</v>
      </c>
      <c r="F12" s="35">
        <v>-4.5625489498420002</v>
      </c>
      <c r="G12" s="35">
        <v>-23</v>
      </c>
      <c r="H12" s="35">
        <v>-9</v>
      </c>
      <c r="I12" s="35">
        <f t="shared" si="0"/>
        <v>14</v>
      </c>
      <c r="J12" s="43"/>
    </row>
    <row r="13" spans="2:10" x14ac:dyDescent="0.25">
      <c r="B13" s="81" t="s">
        <v>28</v>
      </c>
      <c r="C13" s="98">
        <v>145.25000000000026</v>
      </c>
      <c r="D13" s="98">
        <v>279.7210568242615</v>
      </c>
      <c r="E13" s="98">
        <v>289.92115143390902</v>
      </c>
      <c r="F13" s="98">
        <v>246.78010234754242</v>
      </c>
      <c r="G13" s="98">
        <v>390</v>
      </c>
      <c r="H13" s="98">
        <v>559</v>
      </c>
      <c r="I13" s="98">
        <f t="shared" si="0"/>
        <v>169</v>
      </c>
      <c r="J13" s="39"/>
    </row>
    <row r="14" spans="2:10" x14ac:dyDescent="0.25">
      <c r="B14" s="8" t="s">
        <v>63</v>
      </c>
      <c r="C14" s="36">
        <v>-94.125463529883277</v>
      </c>
      <c r="D14" s="36">
        <v>84.147117730128457</v>
      </c>
      <c r="E14" s="36">
        <v>-101.23108797954657</v>
      </c>
      <c r="F14" s="38">
        <v>14</v>
      </c>
      <c r="G14" s="38">
        <v>-454</v>
      </c>
      <c r="H14" s="38">
        <v>811</v>
      </c>
      <c r="I14" s="38">
        <f t="shared" si="0"/>
        <v>1265</v>
      </c>
      <c r="J14" s="39"/>
    </row>
    <row r="15" spans="2:10" x14ac:dyDescent="0.25">
      <c r="B15" s="8" t="s">
        <v>69</v>
      </c>
      <c r="C15" s="36">
        <v>50.718258292059382</v>
      </c>
      <c r="D15" s="36">
        <v>62.977060449999662</v>
      </c>
      <c r="E15" s="36">
        <v>75.537088250000323</v>
      </c>
      <c r="F15" s="38">
        <v>140.46049025315006</v>
      </c>
      <c r="G15" s="38">
        <v>246</v>
      </c>
      <c r="H15" s="38">
        <v>64</v>
      </c>
      <c r="I15" s="38">
        <f t="shared" si="0"/>
        <v>-182</v>
      </c>
      <c r="J15" s="39"/>
    </row>
    <row r="16" spans="2:10" x14ac:dyDescent="0.25">
      <c r="B16" s="8" t="s">
        <v>37</v>
      </c>
      <c r="C16" s="36">
        <v>-8.2237827219789352</v>
      </c>
      <c r="D16" s="36">
        <v>39.088979237840363</v>
      </c>
      <c r="E16" s="36">
        <v>93.439336224535054</v>
      </c>
      <c r="F16" s="38">
        <v>-72.272592600692462</v>
      </c>
      <c r="G16" s="38">
        <v>-317</v>
      </c>
      <c r="H16" s="38">
        <v>342</v>
      </c>
      <c r="I16" s="38">
        <f t="shared" si="0"/>
        <v>659</v>
      </c>
      <c r="J16" s="39"/>
    </row>
    <row r="17" spans="2:11" x14ac:dyDescent="0.25">
      <c r="B17" s="81" t="s">
        <v>30</v>
      </c>
      <c r="C17" s="98">
        <v>93.619012040197433</v>
      </c>
      <c r="D17" s="98">
        <v>465.93421424222998</v>
      </c>
      <c r="E17" s="98">
        <v>357.66648792889782</v>
      </c>
      <c r="F17" s="98">
        <v>328.96800000000002</v>
      </c>
      <c r="G17" s="98">
        <v>-135</v>
      </c>
      <c r="H17" s="98">
        <v>1776</v>
      </c>
      <c r="I17" s="98">
        <f t="shared" si="0"/>
        <v>1911</v>
      </c>
      <c r="J17" s="39"/>
    </row>
    <row r="18" spans="2:11" x14ac:dyDescent="0.25">
      <c r="B18" s="8" t="s">
        <v>235</v>
      </c>
      <c r="C18" s="37">
        <v>-45.805712960197368</v>
      </c>
      <c r="D18" s="37">
        <v>-45.947109931561464</v>
      </c>
      <c r="E18" s="37">
        <v>-35.093000000000004</v>
      </c>
      <c r="F18" s="35">
        <v>-29.882000000000001</v>
      </c>
      <c r="G18" s="38">
        <v>-38</v>
      </c>
      <c r="H18" s="38">
        <v>-51</v>
      </c>
      <c r="I18" s="35">
        <f t="shared" si="0"/>
        <v>-13</v>
      </c>
      <c r="J18" s="43"/>
    </row>
    <row r="19" spans="2:11" x14ac:dyDescent="0.25">
      <c r="B19" s="81" t="s">
        <v>4</v>
      </c>
      <c r="C19" s="98">
        <v>47.813299080000064</v>
      </c>
      <c r="D19" s="98">
        <v>419.98710431066854</v>
      </c>
      <c r="E19" s="98">
        <v>322.5734879288978</v>
      </c>
      <c r="F19" s="98">
        <v>299.08600000000001</v>
      </c>
      <c r="G19" s="98">
        <v>-173</v>
      </c>
      <c r="H19" s="98">
        <v>1725</v>
      </c>
      <c r="I19" s="98">
        <f t="shared" si="0"/>
        <v>1898</v>
      </c>
      <c r="J19" s="39"/>
    </row>
    <row r="20" spans="2:11" x14ac:dyDescent="0.25">
      <c r="B20" s="2"/>
      <c r="C20" s="6"/>
      <c r="D20" s="6"/>
      <c r="E20" s="6"/>
      <c r="F20" s="6"/>
      <c r="G20" s="6"/>
      <c r="H20" s="6"/>
      <c r="I20" s="6"/>
    </row>
    <row r="21" spans="2:11" x14ac:dyDescent="0.25">
      <c r="B21" s="79" t="s">
        <v>5</v>
      </c>
      <c r="C21" s="82" t="s">
        <v>71</v>
      </c>
      <c r="D21" s="82" t="s">
        <v>71</v>
      </c>
      <c r="E21" s="82" t="s">
        <v>71</v>
      </c>
      <c r="F21" s="82" t="s">
        <v>71</v>
      </c>
      <c r="G21" s="82" t="s">
        <v>71</v>
      </c>
      <c r="H21" s="82" t="s">
        <v>71</v>
      </c>
      <c r="I21" s="82" t="s">
        <v>22</v>
      </c>
      <c r="J21" s="95"/>
    </row>
    <row r="22" spans="2:11" ht="15.75" thickBot="1" x14ac:dyDescent="0.3">
      <c r="B22" s="80" t="s">
        <v>23</v>
      </c>
      <c r="C22" s="83">
        <v>2014</v>
      </c>
      <c r="D22" s="83">
        <v>2015</v>
      </c>
      <c r="E22" s="83">
        <v>2016</v>
      </c>
      <c r="F22" s="83">
        <v>2017</v>
      </c>
      <c r="G22" s="83">
        <v>2018</v>
      </c>
      <c r="H22" s="83">
        <v>2019</v>
      </c>
      <c r="I22" s="96" t="s">
        <v>190</v>
      </c>
      <c r="J22" s="95"/>
    </row>
    <row r="23" spans="2:11" x14ac:dyDescent="0.25">
      <c r="B23" s="81" t="s">
        <v>57</v>
      </c>
      <c r="C23" s="94">
        <v>37.245713618483506</v>
      </c>
      <c r="D23" s="94">
        <v>39.558602184691004</v>
      </c>
      <c r="E23" s="94">
        <v>32.903756477842002</v>
      </c>
      <c r="F23" s="94">
        <v>35.228710832170989</v>
      </c>
      <c r="G23" s="94">
        <v>41.1</v>
      </c>
      <c r="H23" s="94">
        <v>36.132996654258996</v>
      </c>
      <c r="I23" s="94">
        <f t="shared" ref="I23:I35" si="1">H23-G23</f>
        <v>-4.9670033457410057</v>
      </c>
      <c r="J23" s="22"/>
    </row>
    <row r="24" spans="2:11" x14ac:dyDescent="0.25">
      <c r="B24" s="11" t="s">
        <v>58</v>
      </c>
      <c r="C24" s="16">
        <v>28.962274929221586</v>
      </c>
      <c r="D24" s="16">
        <v>27.349812704372003</v>
      </c>
      <c r="E24" s="16">
        <v>20.874515424179002</v>
      </c>
      <c r="F24" s="16">
        <v>24.291999056274001</v>
      </c>
      <c r="G24" s="16">
        <v>37.1</v>
      </c>
      <c r="H24" s="16">
        <v>32.377175923458999</v>
      </c>
      <c r="I24" s="16">
        <f t="shared" si="1"/>
        <v>-4.7228240765410021</v>
      </c>
      <c r="J24" s="22"/>
    </row>
    <row r="25" spans="2:11" x14ac:dyDescent="0.25">
      <c r="B25" s="11" t="s">
        <v>72</v>
      </c>
      <c r="C25" s="16">
        <v>8.2834386892619207</v>
      </c>
      <c r="D25" s="16">
        <v>12.208789480319004</v>
      </c>
      <c r="E25" s="16">
        <v>12.029241053663002</v>
      </c>
      <c r="F25" s="16">
        <v>10.936711775896992</v>
      </c>
      <c r="G25" s="16">
        <v>4</v>
      </c>
      <c r="H25" s="16">
        <v>3.7558207307999991</v>
      </c>
      <c r="I25" s="16">
        <f t="shared" si="1"/>
        <v>-0.24417926920000088</v>
      </c>
      <c r="J25" s="22"/>
    </row>
    <row r="26" spans="2:11" x14ac:dyDescent="0.25">
      <c r="B26" s="13" t="s">
        <v>51</v>
      </c>
      <c r="C26" s="16" t="s">
        <v>60</v>
      </c>
      <c r="D26" s="16">
        <v>8.9063157106120006</v>
      </c>
      <c r="E26" s="16">
        <v>7.1950076682160011</v>
      </c>
      <c r="F26" s="16">
        <v>3.3364558057319993</v>
      </c>
      <c r="G26" s="16">
        <v>2.9</v>
      </c>
      <c r="H26" s="16">
        <v>3.5907539999558415</v>
      </c>
      <c r="I26" s="16">
        <f t="shared" si="1"/>
        <v>0.69075399995584164</v>
      </c>
      <c r="J26" s="22"/>
    </row>
    <row r="27" spans="2:11" x14ac:dyDescent="0.25">
      <c r="B27" s="13" t="s">
        <v>52</v>
      </c>
      <c r="C27" s="16" t="s">
        <v>60</v>
      </c>
      <c r="D27" s="16">
        <v>3.3024737697070026</v>
      </c>
      <c r="E27" s="16">
        <v>4.8342333854470008</v>
      </c>
      <c r="F27" s="16">
        <v>7.6002559701649934</v>
      </c>
      <c r="G27" s="16">
        <v>1.1000000000000001</v>
      </c>
      <c r="H27" s="16">
        <v>0.16506673084415777</v>
      </c>
      <c r="I27" s="16">
        <f t="shared" si="1"/>
        <v>-0.93493326915584229</v>
      </c>
      <c r="J27" s="22"/>
    </row>
    <row r="28" spans="2:11" x14ac:dyDescent="0.25">
      <c r="B28" s="81" t="s">
        <v>53</v>
      </c>
      <c r="C28" s="99">
        <v>3.9133322742656317E-2</v>
      </c>
      <c r="D28" s="99">
        <v>4.9333873492460566E-2</v>
      </c>
      <c r="E28" s="99">
        <v>5.4737501573004659E-2</v>
      </c>
      <c r="F28" s="99">
        <v>3.9050053073616864E-2</v>
      </c>
      <c r="G28" s="99">
        <v>5.9027842361998019E-2</v>
      </c>
      <c r="H28" s="99">
        <v>6.0020658875154141E-2</v>
      </c>
      <c r="I28" s="99">
        <f t="shared" si="1"/>
        <v>9.9281651315612229E-4</v>
      </c>
      <c r="J28" s="22"/>
      <c r="K28" s="85"/>
    </row>
    <row r="29" spans="2:11" x14ac:dyDescent="0.25">
      <c r="B29" s="11" t="s">
        <v>54</v>
      </c>
      <c r="C29" s="12">
        <v>4.9000000000000002E-2</v>
      </c>
      <c r="D29" s="12">
        <v>5.2999999999999999E-2</v>
      </c>
      <c r="E29" s="12">
        <v>6.828999471259696E-2</v>
      </c>
      <c r="F29" s="12">
        <v>6.4115195796117422E-2</v>
      </c>
      <c r="G29" s="12">
        <v>6.0376249903696826E-2</v>
      </c>
      <c r="H29" s="12">
        <v>5.772503441450276E-2</v>
      </c>
      <c r="I29" s="12">
        <f t="shared" si="1"/>
        <v>-2.6512154891940656E-3</v>
      </c>
      <c r="J29" s="22"/>
      <c r="K29" s="85"/>
    </row>
    <row r="30" spans="2:11" x14ac:dyDescent="0.25">
      <c r="B30" s="11" t="s">
        <v>73</v>
      </c>
      <c r="C30" s="12">
        <v>1.5956052107020148E-2</v>
      </c>
      <c r="D30" s="12">
        <v>3.4782791462702335E-2</v>
      </c>
      <c r="E30" s="12">
        <v>6.1844693546392118E-2</v>
      </c>
      <c r="F30" s="12">
        <v>3.4665760081680916E-2</v>
      </c>
      <c r="G30" s="12">
        <v>3.9523182832020894E-2</v>
      </c>
      <c r="H30" s="12">
        <v>6.5470543587143937E-2</v>
      </c>
      <c r="I30" s="12">
        <f t="shared" si="1"/>
        <v>2.5947360755123043E-2</v>
      </c>
      <c r="J30" s="22"/>
      <c r="K30" s="85"/>
    </row>
    <row r="31" spans="2:11" x14ac:dyDescent="0.25">
      <c r="B31" s="13" t="s">
        <v>51</v>
      </c>
      <c r="C31" s="12" t="s">
        <v>60</v>
      </c>
      <c r="D31" s="12">
        <v>-2.6981660315782374E-2</v>
      </c>
      <c r="E31" s="12">
        <v>-7.0000000000000001E-3</v>
      </c>
      <c r="F31" s="12">
        <v>1.5093774718429062E-2</v>
      </c>
      <c r="G31" s="12">
        <v>3.1112406761257396E-2</v>
      </c>
      <c r="H31" s="12">
        <v>5.5955058949575705E-2</v>
      </c>
      <c r="I31" s="12">
        <f t="shared" si="1"/>
        <v>2.4842652188318309E-2</v>
      </c>
      <c r="J31" s="22"/>
      <c r="K31" s="85"/>
    </row>
    <row r="32" spans="2:11" x14ac:dyDescent="0.25">
      <c r="B32" s="13" t="s">
        <v>52</v>
      </c>
      <c r="C32" s="12" t="s">
        <v>60</v>
      </c>
      <c r="D32" s="12">
        <v>0.17530217323365427</v>
      </c>
      <c r="E32" s="12">
        <v>0.15355213882183802</v>
      </c>
      <c r="F32" s="12">
        <v>4.0959191354374008E-2</v>
      </c>
      <c r="G32" s="12">
        <v>6.5729377574179806E-2</v>
      </c>
      <c r="H32" s="12" t="s">
        <v>60</v>
      </c>
      <c r="I32" s="12" t="s">
        <v>168</v>
      </c>
      <c r="J32" s="22"/>
      <c r="K32" s="85"/>
    </row>
    <row r="33" spans="2:11" x14ac:dyDescent="0.25">
      <c r="B33" s="100" t="s">
        <v>12</v>
      </c>
      <c r="C33" s="101"/>
      <c r="D33" s="101"/>
      <c r="E33" s="101"/>
      <c r="F33" s="101"/>
      <c r="G33" s="101"/>
      <c r="H33" s="101"/>
      <c r="I33" s="101"/>
      <c r="J33" s="22"/>
      <c r="K33" s="85"/>
    </row>
    <row r="34" spans="2:11" x14ac:dyDescent="0.25">
      <c r="B34" s="26" t="s">
        <v>61</v>
      </c>
      <c r="C34" s="16">
        <v>8.8264359999999993</v>
      </c>
      <c r="D34" s="16">
        <v>8.9264510000000001</v>
      </c>
      <c r="E34" s="16">
        <v>8.9866869999999999</v>
      </c>
      <c r="F34" s="16">
        <v>9.1999999999999993</v>
      </c>
      <c r="G34" s="16">
        <v>9.554451000000002</v>
      </c>
      <c r="H34" s="16">
        <v>9.9</v>
      </c>
      <c r="I34" s="16">
        <f t="shared" si="1"/>
        <v>0.34554899999999833</v>
      </c>
      <c r="J34" s="22"/>
    </row>
    <row r="35" spans="2:11" x14ac:dyDescent="0.25">
      <c r="B35" s="2" t="s">
        <v>17</v>
      </c>
      <c r="C35" s="12">
        <v>8.9999999999999993E-3</v>
      </c>
      <c r="D35" s="12">
        <v>0.03</v>
      </c>
      <c r="E35" s="12">
        <v>2.9000000000000001E-2</v>
      </c>
      <c r="F35" s="12">
        <v>1.2E-2</v>
      </c>
      <c r="G35" s="12">
        <v>6.0205476142579789E-3</v>
      </c>
      <c r="H35" s="12">
        <v>3.6101046262642012E-4</v>
      </c>
      <c r="I35" s="12">
        <f t="shared" si="1"/>
        <v>-5.6595371516315589E-3</v>
      </c>
      <c r="J35" s="22"/>
    </row>
  </sheetData>
  <pageMargins left="0.7" right="0.7" top="0.75" bottom="0.75" header="0.3" footer="0.3"/>
  <pageSetup paperSize="9" scale="67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58"/>
  <sheetViews>
    <sheetView showGridLines="0" tabSelected="1" zoomScaleNormal="100" workbookViewId="0"/>
  </sheetViews>
  <sheetFormatPr defaultColWidth="8.85546875" defaultRowHeight="15" x14ac:dyDescent="0.25"/>
  <cols>
    <col min="1" max="1" width="8.85546875" style="40"/>
    <col min="2" max="2" width="41.5703125" style="40" customWidth="1"/>
    <col min="3" max="9" width="10.5703125" style="40" customWidth="1"/>
    <col min="10" max="10" width="1.5703125" style="15" customWidth="1"/>
    <col min="11" max="16384" width="8.85546875" style="40"/>
  </cols>
  <sheetData>
    <row r="1" spans="2:10" x14ac:dyDescent="0.25">
      <c r="C1" s="3"/>
      <c r="D1" s="3"/>
      <c r="E1" s="3"/>
      <c r="F1" s="25"/>
      <c r="G1" s="25"/>
      <c r="H1" s="25"/>
      <c r="I1" s="25"/>
    </row>
    <row r="2" spans="2:10" x14ac:dyDescent="0.25">
      <c r="B2" s="79"/>
      <c r="C2" s="82" t="s">
        <v>71</v>
      </c>
      <c r="D2" s="82" t="s">
        <v>71</v>
      </c>
      <c r="E2" s="82" t="s">
        <v>71</v>
      </c>
      <c r="F2" s="82" t="s">
        <v>71</v>
      </c>
      <c r="G2" s="82" t="s">
        <v>71</v>
      </c>
      <c r="H2" s="82" t="s">
        <v>71</v>
      </c>
      <c r="I2" s="82" t="s">
        <v>22</v>
      </c>
      <c r="J2" s="95"/>
    </row>
    <row r="3" spans="2:10" ht="15.75" thickBot="1" x14ac:dyDescent="0.3">
      <c r="B3" s="80"/>
      <c r="C3" s="83">
        <v>2014</v>
      </c>
      <c r="D3" s="83">
        <v>2015</v>
      </c>
      <c r="E3" s="83">
        <v>2016</v>
      </c>
      <c r="F3" s="83">
        <v>2017</v>
      </c>
      <c r="G3" s="83">
        <v>2018</v>
      </c>
      <c r="H3" s="83">
        <v>2019</v>
      </c>
      <c r="I3" s="89" t="s">
        <v>190</v>
      </c>
      <c r="J3" s="95"/>
    </row>
    <row r="4" spans="2:10" x14ac:dyDescent="0.25">
      <c r="B4" s="5" t="s">
        <v>156</v>
      </c>
      <c r="C4" s="4">
        <v>205.39000000000001</v>
      </c>
      <c r="D4" s="4">
        <v>304.83100000000002</v>
      </c>
      <c r="E4" s="4">
        <v>609.62800000000004</v>
      </c>
      <c r="F4" s="4">
        <v>1014</v>
      </c>
      <c r="G4" s="4">
        <v>1717</v>
      </c>
      <c r="H4" s="4">
        <v>1959</v>
      </c>
      <c r="I4" s="4">
        <f>H4-G4</f>
        <v>242</v>
      </c>
      <c r="J4" s="102"/>
    </row>
    <row r="5" spans="2:10" x14ac:dyDescent="0.25">
      <c r="B5" s="2" t="s">
        <v>13</v>
      </c>
      <c r="C5" s="4">
        <v>210.18100000000001</v>
      </c>
      <c r="D5" s="4">
        <v>200.333</v>
      </c>
      <c r="E5" s="4">
        <v>443.23500000000001</v>
      </c>
      <c r="F5" s="4">
        <v>592</v>
      </c>
      <c r="G5" s="4">
        <v>798</v>
      </c>
      <c r="H5" s="4">
        <v>1058</v>
      </c>
      <c r="I5" s="4">
        <f t="shared" ref="I5:I25" si="0">H5-G5</f>
        <v>260</v>
      </c>
      <c r="J5" s="102"/>
    </row>
    <row r="6" spans="2:10" x14ac:dyDescent="0.25">
      <c r="B6" s="5" t="s">
        <v>27</v>
      </c>
      <c r="C6" s="4">
        <f t="shared" ref="C6:H6" si="1">SUM(C7:C11)</f>
        <v>66.836883419186591</v>
      </c>
      <c r="D6" s="4">
        <f t="shared" si="1"/>
        <v>136.90278828440944</v>
      </c>
      <c r="E6" s="4">
        <f t="shared" si="1"/>
        <v>448.97269115704557</v>
      </c>
      <c r="F6" s="4">
        <f t="shared" si="1"/>
        <v>605</v>
      </c>
      <c r="G6" s="4">
        <f t="shared" si="1"/>
        <v>816</v>
      </c>
      <c r="H6" s="4">
        <f t="shared" si="1"/>
        <v>902</v>
      </c>
      <c r="I6" s="4">
        <f t="shared" si="0"/>
        <v>86</v>
      </c>
      <c r="J6" s="102"/>
    </row>
    <row r="7" spans="2:10" x14ac:dyDescent="0.25">
      <c r="B7" s="14" t="s">
        <v>7</v>
      </c>
      <c r="C7" s="4">
        <v>41.669966764836175</v>
      </c>
      <c r="D7" s="4">
        <v>23.435786273687899</v>
      </c>
      <c r="E7" s="4">
        <v>165</v>
      </c>
      <c r="F7" s="4">
        <v>142</v>
      </c>
      <c r="G7" s="4">
        <v>105</v>
      </c>
      <c r="H7" s="4">
        <v>69</v>
      </c>
      <c r="I7" s="4">
        <f t="shared" si="0"/>
        <v>-36</v>
      </c>
      <c r="J7" s="102"/>
    </row>
    <row r="8" spans="2:10" x14ac:dyDescent="0.25">
      <c r="B8" s="14" t="s">
        <v>8</v>
      </c>
      <c r="C8" s="4">
        <v>78.227916654350452</v>
      </c>
      <c r="D8" s="4">
        <v>70.018002010721489</v>
      </c>
      <c r="E8" s="4">
        <v>146.45319474679684</v>
      </c>
      <c r="F8" s="4">
        <v>51</v>
      </c>
      <c r="G8" s="4">
        <v>85</v>
      </c>
      <c r="H8" s="4">
        <v>92</v>
      </c>
      <c r="I8" s="4">
        <f t="shared" si="0"/>
        <v>7</v>
      </c>
      <c r="J8" s="102"/>
    </row>
    <row r="9" spans="2:10" x14ac:dyDescent="0.25">
      <c r="B9" s="14" t="s">
        <v>9</v>
      </c>
      <c r="C9" s="4">
        <v>-60.061000000000035</v>
      </c>
      <c r="D9" s="4">
        <v>26.449000000000069</v>
      </c>
      <c r="E9" s="4">
        <v>83.756321633929019</v>
      </c>
      <c r="F9" s="4">
        <v>135</v>
      </c>
      <c r="G9" s="4">
        <v>97</v>
      </c>
      <c r="H9" s="4">
        <v>115</v>
      </c>
      <c r="I9" s="4">
        <f t="shared" si="0"/>
        <v>18</v>
      </c>
      <c r="J9" s="102"/>
    </row>
    <row r="10" spans="2:10" x14ac:dyDescent="0.25">
      <c r="B10" s="14" t="s">
        <v>11</v>
      </c>
      <c r="C10" s="4">
        <v>7</v>
      </c>
      <c r="D10" s="4">
        <v>17</v>
      </c>
      <c r="E10" s="4">
        <v>53.763174776319715</v>
      </c>
      <c r="F10" s="4">
        <v>277</v>
      </c>
      <c r="G10" s="4">
        <v>413</v>
      </c>
      <c r="H10" s="4">
        <v>466</v>
      </c>
      <c r="I10" s="4">
        <f t="shared" si="0"/>
        <v>53</v>
      </c>
      <c r="J10" s="102"/>
    </row>
    <row r="11" spans="2:10" x14ac:dyDescent="0.25">
      <c r="B11" s="14" t="s">
        <v>155</v>
      </c>
      <c r="C11" s="103" t="s">
        <v>168</v>
      </c>
      <c r="D11" s="103" t="s">
        <v>168</v>
      </c>
      <c r="E11" s="103" t="s">
        <v>168</v>
      </c>
      <c r="F11" s="103" t="s">
        <v>168</v>
      </c>
      <c r="G11" s="4">
        <v>116</v>
      </c>
      <c r="H11" s="4">
        <v>160</v>
      </c>
      <c r="I11" s="103">
        <f t="shared" si="0"/>
        <v>44</v>
      </c>
      <c r="J11" s="102"/>
    </row>
    <row r="12" spans="2:10" x14ac:dyDescent="0.25">
      <c r="B12" s="17" t="s">
        <v>10</v>
      </c>
      <c r="C12" s="4">
        <v>32.309772053554298</v>
      </c>
      <c r="D12" s="4">
        <v>38.876549469487827</v>
      </c>
      <c r="E12" s="4">
        <v>44</v>
      </c>
      <c r="F12" s="4">
        <v>86</v>
      </c>
      <c r="G12" s="4">
        <v>133</v>
      </c>
      <c r="H12" s="4">
        <v>174</v>
      </c>
      <c r="I12" s="4">
        <f t="shared" si="0"/>
        <v>41</v>
      </c>
      <c r="J12" s="102"/>
    </row>
    <row r="13" spans="2:10" x14ac:dyDescent="0.25">
      <c r="B13" s="5" t="s">
        <v>12</v>
      </c>
      <c r="C13" s="4">
        <v>120.604</v>
      </c>
      <c r="D13" s="4">
        <v>126.396</v>
      </c>
      <c r="E13" s="4">
        <v>103.99730884295445</v>
      </c>
      <c r="F13" s="4">
        <v>47</v>
      </c>
      <c r="G13" s="4">
        <v>26</v>
      </c>
      <c r="H13" s="4">
        <v>-20</v>
      </c>
      <c r="I13" s="4">
        <f t="shared" si="0"/>
        <v>-46</v>
      </c>
      <c r="J13" s="102"/>
    </row>
    <row r="14" spans="2:10" x14ac:dyDescent="0.25">
      <c r="B14" s="81" t="s">
        <v>28</v>
      </c>
      <c r="C14" s="90">
        <f>SUM(C4:C6,C12:C13)</f>
        <v>635.32165547274099</v>
      </c>
      <c r="D14" s="90">
        <f>SUM(D4:D6,D12:D13)</f>
        <v>807.33933775389721</v>
      </c>
      <c r="E14" s="90">
        <v>1649.8330000000001</v>
      </c>
      <c r="F14" s="90">
        <v>2344</v>
      </c>
      <c r="G14" s="90">
        <f>SUM(G4:G6,G12:G13)</f>
        <v>3490</v>
      </c>
      <c r="H14" s="90">
        <f>SUM(H4:H6,H12:H13)</f>
        <v>4073</v>
      </c>
      <c r="I14" s="90">
        <f t="shared" si="0"/>
        <v>583</v>
      </c>
      <c r="J14" s="104"/>
    </row>
    <row r="15" spans="2:10" x14ac:dyDescent="0.25">
      <c r="B15" s="8" t="s">
        <v>29</v>
      </c>
      <c r="C15" s="9">
        <v>-71</v>
      </c>
      <c r="D15" s="9">
        <v>-125</v>
      </c>
      <c r="E15" s="9">
        <v>-265</v>
      </c>
      <c r="F15" s="4">
        <v>-577</v>
      </c>
      <c r="G15" s="4">
        <v>-1082</v>
      </c>
      <c r="H15" s="4">
        <v>-1178</v>
      </c>
      <c r="I15" s="4">
        <f t="shared" si="0"/>
        <v>-96</v>
      </c>
      <c r="J15" s="102"/>
    </row>
    <row r="16" spans="2:10" x14ac:dyDescent="0.25">
      <c r="B16" s="8" t="s">
        <v>7</v>
      </c>
      <c r="C16" s="9">
        <v>-41.669966764836175</v>
      </c>
      <c r="D16" s="9">
        <v>-23.435786273687899</v>
      </c>
      <c r="E16" s="9">
        <v>-165</v>
      </c>
      <c r="F16" s="9">
        <v>-142</v>
      </c>
      <c r="G16" s="9">
        <v>-105</v>
      </c>
      <c r="H16" s="9">
        <v>-69</v>
      </c>
      <c r="I16" s="4">
        <f t="shared" si="0"/>
        <v>36</v>
      </c>
      <c r="J16" s="102"/>
    </row>
    <row r="17" spans="2:10" x14ac:dyDescent="0.25">
      <c r="B17" s="26" t="s">
        <v>67</v>
      </c>
      <c r="C17" s="9">
        <v>113.25661363291499</v>
      </c>
      <c r="D17" s="9">
        <v>199.23259478990519</v>
      </c>
      <c r="E17" s="9">
        <v>280.96151216781016</v>
      </c>
      <c r="F17" s="9">
        <v>108.03374541289574</v>
      </c>
      <c r="G17" s="4">
        <v>362</v>
      </c>
      <c r="H17" s="4">
        <v>410</v>
      </c>
      <c r="I17" s="4">
        <f t="shared" si="0"/>
        <v>48</v>
      </c>
      <c r="J17" s="102"/>
    </row>
    <row r="18" spans="2:10" x14ac:dyDescent="0.25">
      <c r="B18" s="8" t="s">
        <v>171</v>
      </c>
      <c r="C18" s="9">
        <v>-588.88464686807879</v>
      </c>
      <c r="D18" s="9">
        <v>-233.94690002409573</v>
      </c>
      <c r="E18" s="9">
        <v>132.03811513005337</v>
      </c>
      <c r="F18" s="4">
        <v>-87.459060823983208</v>
      </c>
      <c r="G18" s="4">
        <v>-291</v>
      </c>
      <c r="H18" s="4">
        <v>-859</v>
      </c>
      <c r="I18" s="9">
        <f t="shared" si="0"/>
        <v>-568</v>
      </c>
      <c r="J18" s="102"/>
    </row>
    <row r="19" spans="2:10" x14ac:dyDescent="0.25">
      <c r="B19" s="81" t="s">
        <v>30</v>
      </c>
      <c r="C19" s="90">
        <f>SUM(C14:C18)</f>
        <v>47.023655472740984</v>
      </c>
      <c r="D19" s="90">
        <f>SUM(D14:D18)</f>
        <v>624.1892462460188</v>
      </c>
      <c r="E19" s="90">
        <f t="shared" ref="E19:G19" si="2">SUM(E14:E18)</f>
        <v>1632.8326272978638</v>
      </c>
      <c r="F19" s="90">
        <f t="shared" si="2"/>
        <v>1645.5746845889125</v>
      </c>
      <c r="G19" s="90">
        <f t="shared" si="2"/>
        <v>2374</v>
      </c>
      <c r="H19" s="90">
        <f t="shared" ref="H19" si="3">SUM(H14:H18)</f>
        <v>2377</v>
      </c>
      <c r="I19" s="90">
        <f t="shared" si="0"/>
        <v>3</v>
      </c>
      <c r="J19" s="104"/>
    </row>
    <row r="20" spans="2:10" x14ac:dyDescent="0.25">
      <c r="B20" s="8" t="s">
        <v>31</v>
      </c>
      <c r="C20" s="9">
        <v>-619</v>
      </c>
      <c r="D20" s="9">
        <v>-1269</v>
      </c>
      <c r="E20" s="9">
        <v>-1599</v>
      </c>
      <c r="F20" s="9">
        <v>-1573</v>
      </c>
      <c r="G20" s="4">
        <v>-1605</v>
      </c>
      <c r="H20" s="4">
        <v>-1418</v>
      </c>
      <c r="I20" s="9">
        <f t="shared" si="0"/>
        <v>187</v>
      </c>
      <c r="J20" s="102"/>
    </row>
    <row r="21" spans="2:10" x14ac:dyDescent="0.25">
      <c r="B21" s="8" t="s">
        <v>7</v>
      </c>
      <c r="C21" s="9">
        <v>41.669966764836175</v>
      </c>
      <c r="D21" s="9">
        <v>23.435786273687899</v>
      </c>
      <c r="E21" s="9">
        <v>165</v>
      </c>
      <c r="F21" s="9">
        <v>142</v>
      </c>
      <c r="G21" s="9">
        <v>105</v>
      </c>
      <c r="H21" s="9">
        <v>69</v>
      </c>
      <c r="I21" s="9">
        <f t="shared" si="0"/>
        <v>-36</v>
      </c>
      <c r="J21" s="102"/>
    </row>
    <row r="22" spans="2:10" x14ac:dyDescent="0.25">
      <c r="B22" s="8" t="s">
        <v>157</v>
      </c>
      <c r="C22" s="9">
        <v>-103.91940598232948</v>
      </c>
      <c r="D22" s="9">
        <v>-186.83463205894682</v>
      </c>
      <c r="E22" s="9">
        <v>-186.42000000000002</v>
      </c>
      <c r="F22" s="9">
        <v>-307.66720910269106</v>
      </c>
      <c r="G22" s="4">
        <v>-308</v>
      </c>
      <c r="H22" s="4">
        <v>-255</v>
      </c>
      <c r="I22" s="9">
        <f t="shared" si="0"/>
        <v>53</v>
      </c>
      <c r="J22" s="102"/>
    </row>
    <row r="23" spans="2:10" x14ac:dyDescent="0.25">
      <c r="B23" s="8" t="s">
        <v>68</v>
      </c>
      <c r="C23" s="9">
        <v>202.24943921749332</v>
      </c>
      <c r="D23" s="9">
        <v>384.39884578525891</v>
      </c>
      <c r="E23" s="9">
        <v>108.42000000000002</v>
      </c>
      <c r="F23" s="9">
        <v>34.151704117641486</v>
      </c>
      <c r="G23" s="4">
        <v>259</v>
      </c>
      <c r="H23" s="4">
        <v>49</v>
      </c>
      <c r="I23" s="9">
        <f t="shared" si="0"/>
        <v>-210</v>
      </c>
      <c r="J23" s="102"/>
    </row>
    <row r="24" spans="2:10" x14ac:dyDescent="0.25">
      <c r="B24" s="81" t="s">
        <v>32</v>
      </c>
      <c r="C24" s="90">
        <f>SUM(C20:C23)</f>
        <v>-479</v>
      </c>
      <c r="D24" s="90">
        <f>SUM(D20:D23)</f>
        <v>-1048</v>
      </c>
      <c r="E24" s="90">
        <f>SUM(E20:E23)</f>
        <v>-1512</v>
      </c>
      <c r="F24" s="90">
        <f t="shared" ref="F24:G24" si="4">SUM(F20:F23)</f>
        <v>-1704.5155049850496</v>
      </c>
      <c r="G24" s="90">
        <f t="shared" si="4"/>
        <v>-1549</v>
      </c>
      <c r="H24" s="90">
        <f t="shared" ref="H24" si="5">SUM(H20:H23)</f>
        <v>-1555</v>
      </c>
      <c r="I24" s="90">
        <f t="shared" si="0"/>
        <v>-6</v>
      </c>
      <c r="J24" s="104"/>
    </row>
    <row r="25" spans="2:10" x14ac:dyDescent="0.25">
      <c r="B25" s="81" t="s">
        <v>4</v>
      </c>
      <c r="C25" s="90">
        <f>C24+C19</f>
        <v>-431.97634452725902</v>
      </c>
      <c r="D25" s="90">
        <f>D24+D19+0.5</f>
        <v>-423.3107537539812</v>
      </c>
      <c r="E25" s="90">
        <f>E24+E19</f>
        <v>120.83262729786384</v>
      </c>
      <c r="F25" s="90">
        <f>F24+F19</f>
        <v>-58.940820396137042</v>
      </c>
      <c r="G25" s="90">
        <f>G24+G19</f>
        <v>825</v>
      </c>
      <c r="H25" s="90">
        <f>H24+H19</f>
        <v>822</v>
      </c>
      <c r="I25" s="90">
        <f t="shared" si="0"/>
        <v>-3</v>
      </c>
      <c r="J25" s="104"/>
    </row>
    <row r="26" spans="2:10" x14ac:dyDescent="0.25">
      <c r="B26" s="18"/>
      <c r="C26" s="44"/>
      <c r="D26" s="44"/>
      <c r="E26" s="44"/>
      <c r="F26" s="44"/>
      <c r="G26" s="44"/>
      <c r="H26" s="44"/>
      <c r="I26" s="44"/>
    </row>
    <row r="27" spans="2:10" x14ac:dyDescent="0.25">
      <c r="B27" s="79" t="s">
        <v>1</v>
      </c>
      <c r="C27" s="82" t="s">
        <v>71</v>
      </c>
      <c r="D27" s="82" t="s">
        <v>71</v>
      </c>
      <c r="E27" s="82" t="s">
        <v>71</v>
      </c>
      <c r="F27" s="82" t="s">
        <v>71</v>
      </c>
      <c r="G27" s="82" t="s">
        <v>71</v>
      </c>
      <c r="H27" s="82" t="s">
        <v>71</v>
      </c>
      <c r="I27" s="82" t="s">
        <v>22</v>
      </c>
      <c r="J27" s="95"/>
    </row>
    <row r="28" spans="2:10" ht="15.75" thickBot="1" x14ac:dyDescent="0.3">
      <c r="B28" s="80" t="s">
        <v>23</v>
      </c>
      <c r="C28" s="83">
        <v>2014</v>
      </c>
      <c r="D28" s="83">
        <v>2015</v>
      </c>
      <c r="E28" s="83">
        <v>2016</v>
      </c>
      <c r="F28" s="83">
        <v>2017</v>
      </c>
      <c r="G28" s="83">
        <v>2018</v>
      </c>
      <c r="H28" s="83">
        <v>2019</v>
      </c>
      <c r="I28" s="89" t="s">
        <v>190</v>
      </c>
      <c r="J28" s="95"/>
    </row>
    <row r="29" spans="2:10" x14ac:dyDescent="0.25">
      <c r="B29" s="5" t="s">
        <v>46</v>
      </c>
      <c r="C29" s="4">
        <v>966.44059948407414</v>
      </c>
      <c r="D29" s="4">
        <v>1435.1508576370379</v>
      </c>
      <c r="E29" s="4">
        <v>2661.5596138061192</v>
      </c>
      <c r="F29" s="4">
        <v>3914.3147285245618</v>
      </c>
      <c r="G29" s="4">
        <v>5322.0147285245612</v>
      </c>
      <c r="H29" s="4">
        <v>6948.0147285245612</v>
      </c>
      <c r="I29" s="4">
        <f t="shared" ref="I29:I57" si="6">H29-G29</f>
        <v>1626</v>
      </c>
    </row>
    <row r="30" spans="2:10" x14ac:dyDescent="0.25">
      <c r="B30" s="14" t="s">
        <v>31</v>
      </c>
      <c r="C30" s="4">
        <v>619</v>
      </c>
      <c r="D30" s="4">
        <v>1269</v>
      </c>
      <c r="E30" s="4">
        <v>1599</v>
      </c>
      <c r="F30" s="4">
        <v>1573</v>
      </c>
      <c r="G30" s="4">
        <v>1605</v>
      </c>
      <c r="H30" s="4">
        <v>1418</v>
      </c>
      <c r="I30" s="4">
        <f t="shared" si="6"/>
        <v>-187</v>
      </c>
    </row>
    <row r="31" spans="2:10" x14ac:dyDescent="0.25">
      <c r="B31" s="14" t="s">
        <v>13</v>
      </c>
      <c r="C31" s="4">
        <v>-210.18100000000001</v>
      </c>
      <c r="D31" s="4">
        <v>-200.333</v>
      </c>
      <c r="E31" s="4">
        <v>-443.23500000000001</v>
      </c>
      <c r="F31" s="4">
        <v>-592</v>
      </c>
      <c r="G31" s="4">
        <v>-798</v>
      </c>
      <c r="H31" s="4">
        <v>-1058</v>
      </c>
      <c r="I31" s="4">
        <f t="shared" si="6"/>
        <v>-260</v>
      </c>
    </row>
    <row r="32" spans="2:10" x14ac:dyDescent="0.25">
      <c r="B32" s="14" t="s">
        <v>48</v>
      </c>
      <c r="C32" s="4">
        <v>59.891264166825501</v>
      </c>
      <c r="D32" s="4">
        <v>157.74175616908124</v>
      </c>
      <c r="E32" s="4">
        <v>96.990114718442669</v>
      </c>
      <c r="F32" s="4">
        <v>426.7</v>
      </c>
      <c r="G32" s="4">
        <v>819</v>
      </c>
      <c r="H32" s="4">
        <v>1092.24550456213</v>
      </c>
      <c r="I32" s="4">
        <f t="shared" si="6"/>
        <v>273.24550456213001</v>
      </c>
    </row>
    <row r="33" spans="2:10" x14ac:dyDescent="0.25">
      <c r="B33" s="81" t="s">
        <v>47</v>
      </c>
      <c r="C33" s="90">
        <f t="shared" ref="C33:H33" si="7">SUM(C29:C32)</f>
        <v>1435.1508636508995</v>
      </c>
      <c r="D33" s="90">
        <f t="shared" si="7"/>
        <v>2661.5596138061192</v>
      </c>
      <c r="E33" s="90">
        <f t="shared" si="7"/>
        <v>3914.3147285245618</v>
      </c>
      <c r="F33" s="90">
        <f t="shared" si="7"/>
        <v>5322.0147285245612</v>
      </c>
      <c r="G33" s="90">
        <f t="shared" si="7"/>
        <v>6948.0147285245612</v>
      </c>
      <c r="H33" s="90">
        <f t="shared" si="7"/>
        <v>8400.2602330866921</v>
      </c>
      <c r="I33" s="90">
        <f t="shared" si="6"/>
        <v>1452.2455045621309</v>
      </c>
      <c r="J33" s="105"/>
    </row>
    <row r="34" spans="2:10" x14ac:dyDescent="0.25">
      <c r="B34" s="5" t="s">
        <v>172</v>
      </c>
      <c r="C34" s="23">
        <v>9.9699999999999997E-2</v>
      </c>
      <c r="D34" s="23">
        <v>9.9699999999999997E-2</v>
      </c>
      <c r="E34" s="23">
        <v>0.1191</v>
      </c>
      <c r="F34" s="23">
        <v>0.1191</v>
      </c>
      <c r="G34" s="23">
        <v>0.1361</v>
      </c>
      <c r="H34" s="23">
        <v>0.1361</v>
      </c>
      <c r="I34" s="23">
        <f t="shared" si="6"/>
        <v>0</v>
      </c>
    </row>
    <row r="35" spans="2:10" x14ac:dyDescent="0.25">
      <c r="B35" s="81" t="s">
        <v>14</v>
      </c>
      <c r="C35" s="106"/>
      <c r="D35" s="106"/>
      <c r="E35" s="106"/>
      <c r="F35" s="106"/>
      <c r="G35" s="106"/>
      <c r="H35" s="106"/>
      <c r="I35" s="106"/>
      <c r="J35" s="105"/>
    </row>
    <row r="36" spans="2:10" x14ac:dyDescent="0.25">
      <c r="B36" s="5" t="s">
        <v>49</v>
      </c>
      <c r="C36" s="4">
        <v>567.00000000000011</v>
      </c>
      <c r="D36" s="4">
        <v>567</v>
      </c>
      <c r="E36" s="4">
        <v>863.87649800000008</v>
      </c>
      <c r="F36" s="4">
        <v>863.87649800000008</v>
      </c>
      <c r="G36" s="4">
        <v>863.87649800000008</v>
      </c>
      <c r="H36" s="4">
        <v>863.87649799999997</v>
      </c>
      <c r="I36" s="4">
        <f t="shared" si="6"/>
        <v>0</v>
      </c>
    </row>
    <row r="37" spans="2:10" x14ac:dyDescent="0.25">
      <c r="B37" s="5" t="s">
        <v>50</v>
      </c>
      <c r="C37" s="4">
        <v>525.66332335329355</v>
      </c>
      <c r="D37" s="4">
        <v>571.97426214071868</v>
      </c>
      <c r="E37" s="4">
        <v>903.09364590696111</v>
      </c>
      <c r="F37" s="4">
        <v>1001.5406495151198</v>
      </c>
      <c r="G37" s="4">
        <v>1156</v>
      </c>
      <c r="H37" s="4">
        <v>1337.2950444151948</v>
      </c>
      <c r="I37" s="4">
        <f t="shared" si="6"/>
        <v>181.29504441519475</v>
      </c>
    </row>
    <row r="38" spans="2:10" x14ac:dyDescent="0.25">
      <c r="B38" s="5" t="s">
        <v>31</v>
      </c>
      <c r="C38" s="4">
        <v>619</v>
      </c>
      <c r="D38" s="4">
        <v>1269</v>
      </c>
      <c r="E38" s="4">
        <v>1599</v>
      </c>
      <c r="F38" s="4">
        <v>1573</v>
      </c>
      <c r="G38" s="4">
        <v>1605</v>
      </c>
      <c r="H38" s="4">
        <v>1418</v>
      </c>
      <c r="I38" s="4">
        <f t="shared" si="6"/>
        <v>-187</v>
      </c>
    </row>
    <row r="39" spans="2:10" x14ac:dyDescent="0.25">
      <c r="B39" s="5" t="s">
        <v>19</v>
      </c>
      <c r="C39" s="10">
        <f>C38/C37-1</f>
        <v>0.17755980396596116</v>
      </c>
      <c r="D39" s="10">
        <f t="shared" ref="D39:G39" si="8">D38/D37-1</f>
        <v>1.2186312986366459</v>
      </c>
      <c r="E39" s="10">
        <f t="shared" si="8"/>
        <v>0.77058050097800468</v>
      </c>
      <c r="F39" s="10">
        <f t="shared" si="8"/>
        <v>0.57058028624354229</v>
      </c>
      <c r="G39" s="10">
        <f t="shared" si="8"/>
        <v>0.3884083044982698</v>
      </c>
      <c r="H39" s="10">
        <f t="shared" ref="H39" si="9">H38/H37-1</f>
        <v>6.0349401519017798E-2</v>
      </c>
      <c r="I39" s="10">
        <f t="shared" si="6"/>
        <v>-0.328058902979252</v>
      </c>
    </row>
    <row r="40" spans="2:10" x14ac:dyDescent="0.25">
      <c r="B40" s="81" t="s">
        <v>75</v>
      </c>
      <c r="C40" s="107"/>
      <c r="D40" s="107"/>
      <c r="E40" s="107"/>
      <c r="F40" s="107"/>
      <c r="G40" s="107"/>
      <c r="H40" s="107"/>
      <c r="I40" s="107"/>
      <c r="J40" s="105"/>
    </row>
    <row r="41" spans="2:10" x14ac:dyDescent="0.25">
      <c r="B41" s="5" t="s">
        <v>173</v>
      </c>
      <c r="C41" s="12">
        <v>7.8799999999999995E-2</v>
      </c>
      <c r="D41" s="12">
        <v>7.8799999999999995E-2</v>
      </c>
      <c r="E41" s="12">
        <v>0.08</v>
      </c>
      <c r="F41" s="12">
        <v>7.7499999999999999E-2</v>
      </c>
      <c r="G41" s="7">
        <v>7.6352424951418529E-2</v>
      </c>
      <c r="H41" s="7">
        <v>7.3323606072953129E-2</v>
      </c>
      <c r="I41" s="7">
        <f t="shared" si="6"/>
        <v>-3.0288188784654002E-3</v>
      </c>
    </row>
    <row r="42" spans="2:10" x14ac:dyDescent="0.25">
      <c r="B42" s="5" t="s">
        <v>174</v>
      </c>
      <c r="C42" s="12">
        <v>7.6799999999999993E-2</v>
      </c>
      <c r="D42" s="12">
        <v>7.0000000000000007E-2</v>
      </c>
      <c r="E42" s="12">
        <v>6.9800000000000001E-2</v>
      </c>
      <c r="F42" s="12">
        <v>6.0496507664818691E-2</v>
      </c>
      <c r="G42" s="7">
        <v>6.107955885564343E-2</v>
      </c>
      <c r="H42" s="7">
        <v>5.7048399613746324E-2</v>
      </c>
      <c r="I42" s="7">
        <f t="shared" si="6"/>
        <v>-4.0311592418971059E-3</v>
      </c>
    </row>
    <row r="43" spans="2:10" x14ac:dyDescent="0.25">
      <c r="B43" s="5" t="s">
        <v>16</v>
      </c>
      <c r="C43" s="12">
        <f>C41-C42</f>
        <v>2.0000000000000018E-3</v>
      </c>
      <c r="D43" s="12">
        <f>D41-D42</f>
        <v>8.7999999999999884E-3</v>
      </c>
      <c r="E43" s="12">
        <f>E41-E42</f>
        <v>1.0200000000000001E-2</v>
      </c>
      <c r="F43" s="12">
        <v>1.7003492335181308E-2</v>
      </c>
      <c r="G43" s="12">
        <f t="shared" ref="G43:H43" si="10">G41-G42</f>
        <v>1.5272866095775099E-2</v>
      </c>
      <c r="H43" s="12">
        <f t="shared" si="10"/>
        <v>1.6275206459206805E-2</v>
      </c>
      <c r="I43" s="7">
        <f t="shared" si="6"/>
        <v>1.0023403634317057E-3</v>
      </c>
    </row>
    <row r="44" spans="2:10" x14ac:dyDescent="0.25">
      <c r="B44" s="5" t="s">
        <v>59</v>
      </c>
      <c r="C44" s="16">
        <v>14.3</v>
      </c>
      <c r="D44" s="16">
        <v>15</v>
      </c>
      <c r="E44" s="16">
        <v>15.3</v>
      </c>
      <c r="F44" s="16">
        <v>16</v>
      </c>
      <c r="G44" s="16">
        <v>16.2</v>
      </c>
      <c r="H44" s="16">
        <v>15.9</v>
      </c>
      <c r="I44" s="16">
        <f t="shared" si="6"/>
        <v>-0.29999999999999893</v>
      </c>
    </row>
    <row r="45" spans="2:10" x14ac:dyDescent="0.25">
      <c r="B45" s="81" t="s">
        <v>74</v>
      </c>
      <c r="C45" s="107"/>
      <c r="D45" s="107"/>
      <c r="E45" s="107"/>
      <c r="F45" s="107"/>
      <c r="G45" s="107"/>
      <c r="H45" s="107"/>
      <c r="I45" s="107"/>
      <c r="J45" s="105"/>
    </row>
    <row r="46" spans="2:10" x14ac:dyDescent="0.25">
      <c r="B46" s="5" t="s">
        <v>173</v>
      </c>
      <c r="C46" s="12">
        <v>6.6100000000000006E-2</v>
      </c>
      <c r="D46" s="12">
        <v>6.6100000000000006E-2</v>
      </c>
      <c r="E46" s="12">
        <v>7.6100000000000001E-2</v>
      </c>
      <c r="F46" s="7">
        <v>7.6316666666666672E-2</v>
      </c>
      <c r="G46" s="7">
        <v>7.4955134146130781E-2</v>
      </c>
      <c r="H46" s="7">
        <v>7.3127731018089281E-2</v>
      </c>
      <c r="I46" s="7">
        <f t="shared" si="6"/>
        <v>-1.8274031280414993E-3</v>
      </c>
    </row>
    <row r="47" spans="2:10" x14ac:dyDescent="0.25">
      <c r="B47" s="5" t="s">
        <v>174</v>
      </c>
      <c r="C47" s="12">
        <v>7.2000000000000008E-2</v>
      </c>
      <c r="D47" s="12">
        <v>7.0200000000000012E-2</v>
      </c>
      <c r="E47" s="12">
        <v>6.7799999999999999E-2</v>
      </c>
      <c r="F47" s="7">
        <v>6.1040921531194961E-2</v>
      </c>
      <c r="G47" s="7">
        <v>6.0422329224719774E-2</v>
      </c>
      <c r="H47" s="7">
        <v>5.4954367895907096E-2</v>
      </c>
      <c r="I47" s="7">
        <f t="shared" si="6"/>
        <v>-5.4679613288126788E-3</v>
      </c>
    </row>
    <row r="48" spans="2:10" x14ac:dyDescent="0.25">
      <c r="B48" s="5" t="s">
        <v>16</v>
      </c>
      <c r="C48" s="12">
        <f>C46-C47</f>
        <v>-5.9000000000000025E-3</v>
      </c>
      <c r="D48" s="12">
        <f>D46-D47</f>
        <v>-4.1000000000000064E-3</v>
      </c>
      <c r="E48" s="12">
        <f>E46-E47</f>
        <v>8.3000000000000018E-3</v>
      </c>
      <c r="F48" s="7">
        <v>1.5275745135471711E-2</v>
      </c>
      <c r="G48" s="12">
        <f t="shared" ref="G48:H48" si="11">G46-G47</f>
        <v>1.4532804921411006E-2</v>
      </c>
      <c r="H48" s="12">
        <f t="shared" si="11"/>
        <v>1.8173363122182186E-2</v>
      </c>
      <c r="I48" s="7">
        <f t="shared" si="6"/>
        <v>3.6405582007711795E-3</v>
      </c>
    </row>
    <row r="49" spans="2:10" x14ac:dyDescent="0.25">
      <c r="B49" s="5" t="s">
        <v>59</v>
      </c>
      <c r="C49" s="16">
        <v>11.1</v>
      </c>
      <c r="D49" s="16">
        <v>11.6</v>
      </c>
      <c r="E49" s="16">
        <v>11.9</v>
      </c>
      <c r="F49" s="16">
        <v>12.3</v>
      </c>
      <c r="G49" s="16">
        <v>12.6</v>
      </c>
      <c r="H49" s="16">
        <v>12.4</v>
      </c>
      <c r="I49" s="16">
        <f t="shared" si="6"/>
        <v>-0.19999999999999929</v>
      </c>
    </row>
    <row r="50" spans="2:10" x14ac:dyDescent="0.25">
      <c r="B50" s="81" t="s">
        <v>76</v>
      </c>
      <c r="C50" s="107"/>
      <c r="D50" s="107"/>
      <c r="E50" s="107"/>
      <c r="F50" s="107"/>
      <c r="G50" s="107"/>
      <c r="H50" s="107"/>
      <c r="I50" s="107"/>
      <c r="J50" s="105"/>
    </row>
    <row r="51" spans="2:10" x14ac:dyDescent="0.25">
      <c r="B51" s="5" t="s">
        <v>173</v>
      </c>
      <c r="C51" s="12">
        <v>0.1124</v>
      </c>
      <c r="D51" s="12">
        <v>0.1171</v>
      </c>
      <c r="E51" s="12">
        <v>0.13589999999999999</v>
      </c>
      <c r="F51" s="12">
        <v>0.13320000000000001</v>
      </c>
      <c r="G51" s="7">
        <v>0.1234</v>
      </c>
      <c r="H51" s="7">
        <v>0.11736455562286591</v>
      </c>
      <c r="I51" s="7">
        <f t="shared" si="6"/>
        <v>-6.0354443771340888E-3</v>
      </c>
    </row>
    <row r="52" spans="2:10" x14ac:dyDescent="0.25">
      <c r="B52" s="5" t="s">
        <v>174</v>
      </c>
      <c r="C52" s="12">
        <v>0.1318</v>
      </c>
      <c r="D52" s="12">
        <v>0.12498657911970756</v>
      </c>
      <c r="E52" s="12">
        <v>0.12119999999999999</v>
      </c>
      <c r="F52" s="12">
        <v>0.1136432884121565</v>
      </c>
      <c r="G52" s="7">
        <v>0.11852468775041411</v>
      </c>
      <c r="H52" s="7">
        <v>0.11381892467839186</v>
      </c>
      <c r="I52" s="7">
        <f t="shared" si="6"/>
        <v>-4.705763072022251E-3</v>
      </c>
    </row>
    <row r="53" spans="2:10" x14ac:dyDescent="0.25">
      <c r="B53" s="5" t="s">
        <v>16</v>
      </c>
      <c r="C53" s="12">
        <f>C51-C52</f>
        <v>-1.9400000000000001E-2</v>
      </c>
      <c r="D53" s="12">
        <f>D51-D52</f>
        <v>-7.886579119707568E-3</v>
      </c>
      <c r="E53" s="12">
        <f>E51-E52</f>
        <v>1.4700000000000005E-2</v>
      </c>
      <c r="F53" s="12">
        <v>1.9556711587843514E-2</v>
      </c>
      <c r="G53" s="12">
        <f t="shared" ref="G53:H53" si="12">G51-G52</f>
        <v>4.8753122495858864E-3</v>
      </c>
      <c r="H53" s="12">
        <f t="shared" si="12"/>
        <v>3.5456309444740486E-3</v>
      </c>
      <c r="I53" s="7">
        <f t="shared" si="6"/>
        <v>-1.3296813051118378E-3</v>
      </c>
    </row>
    <row r="54" spans="2:10" x14ac:dyDescent="0.25">
      <c r="B54" s="5" t="s">
        <v>59</v>
      </c>
      <c r="C54" s="16">
        <v>14.9</v>
      </c>
      <c r="D54" s="16">
        <v>15.7</v>
      </c>
      <c r="E54" s="16">
        <v>16.3</v>
      </c>
      <c r="F54" s="16">
        <v>17.2</v>
      </c>
      <c r="G54" s="16">
        <v>17.399999999999999</v>
      </c>
      <c r="H54" s="16">
        <v>17.600000000000001</v>
      </c>
      <c r="I54" s="16">
        <f t="shared" si="6"/>
        <v>0.20000000000000284</v>
      </c>
    </row>
    <row r="55" spans="2:10" x14ac:dyDescent="0.25">
      <c r="B55" s="81" t="s">
        <v>12</v>
      </c>
      <c r="C55" s="107"/>
      <c r="D55" s="107"/>
      <c r="E55" s="107"/>
      <c r="F55" s="107"/>
      <c r="G55" s="107"/>
      <c r="H55" s="107"/>
      <c r="I55" s="107"/>
      <c r="J55" s="105"/>
    </row>
    <row r="56" spans="2:10" x14ac:dyDescent="0.25">
      <c r="B56" s="24" t="s">
        <v>55</v>
      </c>
      <c r="C56" s="25">
        <v>207106</v>
      </c>
      <c r="D56" s="25">
        <v>211378</v>
      </c>
      <c r="E56" s="25">
        <v>217853</v>
      </c>
      <c r="F56" s="25">
        <v>219920</v>
      </c>
      <c r="G56" s="25">
        <v>226708</v>
      </c>
      <c r="H56" s="25">
        <v>231582</v>
      </c>
      <c r="I56" s="25">
        <f t="shared" si="6"/>
        <v>4874</v>
      </c>
    </row>
    <row r="57" spans="2:10" x14ac:dyDescent="0.25">
      <c r="B57" s="24" t="s">
        <v>56</v>
      </c>
      <c r="C57" s="31">
        <v>9.9</v>
      </c>
      <c r="D57" s="31">
        <v>10.199999999999999</v>
      </c>
      <c r="E57" s="31">
        <v>10.5</v>
      </c>
      <c r="F57" s="31">
        <v>10.9</v>
      </c>
      <c r="G57" s="31">
        <v>10.9</v>
      </c>
      <c r="H57" s="31">
        <v>11.2</v>
      </c>
      <c r="I57" s="31">
        <f t="shared" si="6"/>
        <v>0.29999999999999893</v>
      </c>
    </row>
    <row r="58" spans="2:10" x14ac:dyDescent="0.25">
      <c r="C58" s="78"/>
      <c r="D58" s="78"/>
      <c r="E58" s="78"/>
    </row>
  </sheetData>
  <pageMargins left="0.7" right="0.7" top="0.75" bottom="0.75" header="0.3" footer="0.3"/>
  <pageSetup paperSize="9" scale="58" orientation="landscape" r:id="rId1"/>
  <customProperties>
    <customPr name="EpmWorksheetKeyString_GUID" r:id="rId2"/>
  </customProperties>
  <ignoredErrors>
    <ignoredError sqref="G6:H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52"/>
  <sheetViews>
    <sheetView showGridLines="0" topLeftCell="A19" zoomScale="80" zoomScaleNormal="80" workbookViewId="0">
      <selection activeCell="F44" sqref="F44"/>
    </sheetView>
  </sheetViews>
  <sheetFormatPr defaultRowHeight="15" x14ac:dyDescent="0.25"/>
  <cols>
    <col min="2" max="2" width="45.42578125" style="40" bestFit="1" customWidth="1"/>
    <col min="3" max="3" width="10.85546875" customWidth="1"/>
    <col min="4" max="4" width="10.85546875" bestFit="1" customWidth="1"/>
    <col min="5" max="6" width="10.85546875" customWidth="1"/>
    <col min="7" max="7" width="9.85546875" bestFit="1" customWidth="1"/>
    <col min="8" max="8" width="5" customWidth="1"/>
    <col min="9" max="9" width="9.85546875" bestFit="1" customWidth="1"/>
    <col min="10" max="12" width="10.85546875" customWidth="1"/>
    <col min="13" max="13" width="9.85546875" bestFit="1" customWidth="1"/>
    <col min="16" max="17" width="9.85546875" bestFit="1" customWidth="1"/>
    <col min="18" max="18" width="9.140625" bestFit="1" customWidth="1"/>
    <col min="19" max="20" width="9" bestFit="1" customWidth="1"/>
  </cols>
  <sheetData>
    <row r="2" spans="2:20" x14ac:dyDescent="0.25">
      <c r="C2" s="119">
        <v>2019</v>
      </c>
      <c r="D2" s="119"/>
      <c r="E2" s="119"/>
      <c r="F2" s="119"/>
      <c r="I2" s="119">
        <v>2018</v>
      </c>
      <c r="J2" s="119"/>
      <c r="K2" s="119"/>
      <c r="L2" s="119"/>
    </row>
    <row r="3" spans="2:20" ht="15.75" thickBot="1" x14ac:dyDescent="0.3">
      <c r="C3" s="83" t="s">
        <v>204</v>
      </c>
      <c r="D3" s="83" t="s">
        <v>1</v>
      </c>
      <c r="E3" s="83" t="s">
        <v>5</v>
      </c>
      <c r="F3" s="83" t="s">
        <v>12</v>
      </c>
      <c r="G3" s="83" t="s">
        <v>234</v>
      </c>
      <c r="I3" s="83" t="s">
        <v>204</v>
      </c>
      <c r="J3" s="83" t="s">
        <v>1</v>
      </c>
      <c r="K3" s="83" t="s">
        <v>5</v>
      </c>
      <c r="L3" s="83" t="s">
        <v>12</v>
      </c>
      <c r="M3" s="83" t="s">
        <v>234</v>
      </c>
    </row>
    <row r="5" spans="2:20" x14ac:dyDescent="0.25">
      <c r="B5" s="40" t="s">
        <v>192</v>
      </c>
      <c r="C5" s="3">
        <v>4168411</v>
      </c>
      <c r="D5" s="3">
        <v>2377294</v>
      </c>
      <c r="E5" s="3">
        <v>1775699</v>
      </c>
      <c r="F5" s="3">
        <v>15418</v>
      </c>
      <c r="G5" s="3">
        <f>C5-SUM(D5:F5)</f>
        <v>0</v>
      </c>
      <c r="I5" s="3">
        <v>2121198</v>
      </c>
      <c r="J5" s="3">
        <v>2373973</v>
      </c>
      <c r="K5" s="3">
        <v>-134912</v>
      </c>
      <c r="L5" s="3">
        <v>-117863</v>
      </c>
      <c r="M5" s="3">
        <f>I5-SUM(J5:L5)</f>
        <v>0</v>
      </c>
      <c r="P5" s="3">
        <v>4168411</v>
      </c>
      <c r="Q5" s="3">
        <v>2377294</v>
      </c>
      <c r="R5" s="3">
        <v>1775700</v>
      </c>
      <c r="S5" s="3">
        <v>15417</v>
      </c>
      <c r="T5" s="3">
        <v>0</v>
      </c>
    </row>
    <row r="6" spans="2:20" x14ac:dyDescent="0.25">
      <c r="B6" s="40" t="s">
        <v>97</v>
      </c>
      <c r="C6" s="3">
        <v>-1621325</v>
      </c>
      <c r="D6" s="3">
        <v>-1554819</v>
      </c>
      <c r="E6" s="3">
        <v>-50672</v>
      </c>
      <c r="F6" s="3">
        <v>-15834</v>
      </c>
      <c r="G6" s="3">
        <f>C6-SUM(D6:F6)</f>
        <v>0</v>
      </c>
      <c r="I6" s="3">
        <v>-1602055</v>
      </c>
      <c r="J6" s="3">
        <v>-1548793</v>
      </c>
      <c r="K6" s="3">
        <v>-38327</v>
      </c>
      <c r="L6" s="3">
        <v>-14935</v>
      </c>
      <c r="M6" s="3">
        <f>I6-SUM(J6:L6)</f>
        <v>0</v>
      </c>
      <c r="P6" s="3">
        <v>-1621325</v>
      </c>
      <c r="Q6" s="3">
        <v>-1554819</v>
      </c>
      <c r="R6" s="3">
        <v>-50672</v>
      </c>
      <c r="S6" s="3">
        <v>-15834</v>
      </c>
      <c r="T6" s="3">
        <v>0</v>
      </c>
    </row>
    <row r="7" spans="2:20" x14ac:dyDescent="0.25">
      <c r="B7" s="41" t="s">
        <v>232</v>
      </c>
      <c r="C7" s="28">
        <f>SUM(C5:C6)</f>
        <v>2547086</v>
      </c>
      <c r="D7" s="28">
        <f t="shared" ref="D7:F7" si="0">SUM(D5:D6)</f>
        <v>822475</v>
      </c>
      <c r="E7" s="28">
        <f t="shared" si="0"/>
        <v>1725027</v>
      </c>
      <c r="F7" s="28">
        <f t="shared" si="0"/>
        <v>-416</v>
      </c>
      <c r="G7" s="28">
        <f t="shared" ref="G7" si="1">C7-SUM(D7:F7)</f>
        <v>0</v>
      </c>
      <c r="H7" s="41"/>
      <c r="I7" s="28">
        <f t="shared" ref="I7:L7" si="2">SUM(I5:I6)</f>
        <v>519143</v>
      </c>
      <c r="J7" s="28">
        <f t="shared" si="2"/>
        <v>825180</v>
      </c>
      <c r="K7" s="28">
        <f t="shared" si="2"/>
        <v>-173239</v>
      </c>
      <c r="L7" s="28">
        <f t="shared" si="2"/>
        <v>-132798</v>
      </c>
      <c r="M7" s="28">
        <f t="shared" ref="M7" si="3">I7-SUM(J7:L7)</f>
        <v>0</v>
      </c>
      <c r="P7" s="3">
        <v>2547086</v>
      </c>
      <c r="Q7" s="3">
        <v>822475</v>
      </c>
      <c r="R7" s="3">
        <v>1725028</v>
      </c>
      <c r="S7" s="3">
        <v>-417</v>
      </c>
      <c r="T7" s="3">
        <v>0</v>
      </c>
    </row>
    <row r="8" spans="2:20" x14ac:dyDescent="0.25">
      <c r="B8" s="40" t="s">
        <v>233</v>
      </c>
      <c r="C8" s="3">
        <v>-1585680</v>
      </c>
      <c r="G8" s="3"/>
      <c r="I8" s="3">
        <v>-1047009</v>
      </c>
      <c r="M8" s="3"/>
      <c r="P8" s="3">
        <v>-1585680</v>
      </c>
      <c r="Q8" s="3"/>
      <c r="R8" s="3"/>
      <c r="S8" s="3"/>
      <c r="T8" s="3"/>
    </row>
    <row r="9" spans="2:20" x14ac:dyDescent="0.25">
      <c r="B9" s="40" t="s">
        <v>43</v>
      </c>
      <c r="C9" s="3">
        <v>-456277</v>
      </c>
      <c r="D9" s="3"/>
      <c r="E9" s="3"/>
      <c r="G9" s="3"/>
      <c r="I9" s="3">
        <v>-34608</v>
      </c>
      <c r="M9" s="3"/>
      <c r="P9" s="3">
        <v>-456277</v>
      </c>
      <c r="Q9" s="3"/>
      <c r="R9" s="3"/>
      <c r="S9" s="3"/>
      <c r="T9" s="3"/>
    </row>
    <row r="10" spans="2:20" x14ac:dyDescent="0.25">
      <c r="B10" s="41" t="s">
        <v>193</v>
      </c>
      <c r="C10" s="28">
        <f>SUM(C7,C8:C9)</f>
        <v>505129</v>
      </c>
      <c r="D10" s="28"/>
      <c r="E10" s="28"/>
      <c r="F10" s="28"/>
      <c r="G10" s="28"/>
      <c r="I10" s="28">
        <f>SUM(I7,I8:I9)</f>
        <v>-562474</v>
      </c>
      <c r="J10" s="28"/>
      <c r="K10" s="28"/>
      <c r="L10" s="28"/>
      <c r="M10" s="28"/>
      <c r="P10" s="3">
        <v>505129</v>
      </c>
      <c r="Q10" s="3"/>
      <c r="R10" s="3"/>
      <c r="S10" s="3"/>
      <c r="T10" s="3"/>
    </row>
    <row r="11" spans="2:20" x14ac:dyDescent="0.25">
      <c r="P11" s="3"/>
      <c r="Q11" s="3"/>
      <c r="R11" s="3"/>
      <c r="S11" s="3"/>
      <c r="T11" s="3"/>
    </row>
    <row r="12" spans="2:20" x14ac:dyDescent="0.25">
      <c r="P12" s="3"/>
      <c r="Q12" s="3"/>
      <c r="R12" s="3"/>
      <c r="S12" s="3"/>
      <c r="T12" s="3"/>
    </row>
    <row r="13" spans="2:20" s="41" customFormat="1" x14ac:dyDescent="0.25">
      <c r="B13" s="28" t="s">
        <v>230</v>
      </c>
      <c r="C13" s="28">
        <v>3064206</v>
      </c>
      <c r="D13" s="28">
        <v>2901585</v>
      </c>
      <c r="E13" s="28">
        <v>397546</v>
      </c>
      <c r="F13" s="28">
        <v>-234925</v>
      </c>
      <c r="G13" s="28">
        <f t="shared" ref="G13:G26" si="4">C13-SUM(D13:F13)</f>
        <v>0</v>
      </c>
      <c r="I13" s="28">
        <v>2811191</v>
      </c>
      <c r="J13" s="28">
        <v>3783614</v>
      </c>
      <c r="K13" s="28">
        <v>23790</v>
      </c>
      <c r="L13" s="28">
        <v>-996213</v>
      </c>
      <c r="M13" s="28">
        <f t="shared" ref="M13:M16" si="5">I13-SUM(J13:L13)</f>
        <v>0</v>
      </c>
      <c r="P13" s="28">
        <v>3064206</v>
      </c>
      <c r="Q13" s="28">
        <v>2901585</v>
      </c>
      <c r="R13" s="28">
        <v>397546</v>
      </c>
      <c r="S13" s="28">
        <v>-234925</v>
      </c>
      <c r="T13" s="28">
        <v>0</v>
      </c>
    </row>
    <row r="14" spans="2:20" x14ac:dyDescent="0.25">
      <c r="B14" s="40" t="s">
        <v>150</v>
      </c>
      <c r="C14" s="3">
        <v>372867</v>
      </c>
      <c r="D14" s="3">
        <v>112902</v>
      </c>
      <c r="E14" s="3">
        <v>47219</v>
      </c>
      <c r="F14" s="3">
        <v>212745</v>
      </c>
      <c r="G14" s="3">
        <f t="shared" si="4"/>
        <v>1</v>
      </c>
      <c r="I14" s="3">
        <v>258182</v>
      </c>
      <c r="J14" s="3">
        <v>26249</v>
      </c>
      <c r="K14" s="3">
        <v>22642</v>
      </c>
      <c r="L14" s="3">
        <v>209291</v>
      </c>
      <c r="M14" s="3">
        <f t="shared" si="5"/>
        <v>0</v>
      </c>
      <c r="P14" s="3">
        <v>372867</v>
      </c>
      <c r="Q14" s="3">
        <v>112903</v>
      </c>
      <c r="R14" s="3">
        <v>47219</v>
      </c>
      <c r="S14" s="3">
        <v>212745</v>
      </c>
      <c r="T14" s="3">
        <v>0</v>
      </c>
    </row>
    <row r="15" spans="2:20" x14ac:dyDescent="0.25">
      <c r="B15" s="40" t="s">
        <v>178</v>
      </c>
      <c r="C15">
        <v>0</v>
      </c>
      <c r="D15" s="40">
        <v>0</v>
      </c>
      <c r="E15" s="40">
        <v>0</v>
      </c>
      <c r="F15" s="40">
        <v>0</v>
      </c>
      <c r="G15" s="3">
        <f t="shared" si="4"/>
        <v>0</v>
      </c>
      <c r="I15" s="3">
        <v>752904</v>
      </c>
      <c r="J15">
        <v>0</v>
      </c>
      <c r="K15" s="40">
        <v>0</v>
      </c>
      <c r="L15" s="3">
        <f>I15</f>
        <v>752904</v>
      </c>
      <c r="M15" s="3">
        <f t="shared" si="5"/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</row>
    <row r="16" spans="2:20" x14ac:dyDescent="0.25">
      <c r="B16" s="40" t="s">
        <v>167</v>
      </c>
      <c r="C16" s="40">
        <v>0</v>
      </c>
      <c r="D16" s="40">
        <v>0</v>
      </c>
      <c r="E16" s="40">
        <v>0</v>
      </c>
      <c r="F16" s="40">
        <v>0</v>
      </c>
      <c r="G16" s="3">
        <f t="shared" si="4"/>
        <v>0</v>
      </c>
      <c r="I16" s="40">
        <v>0</v>
      </c>
      <c r="J16" s="40">
        <v>0</v>
      </c>
      <c r="K16" s="40">
        <v>0</v>
      </c>
      <c r="L16" s="40">
        <v>0</v>
      </c>
      <c r="M16" s="3">
        <f t="shared" si="5"/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</row>
    <row r="17" spans="2:20" x14ac:dyDescent="0.25">
      <c r="B17" s="40" t="s">
        <v>175</v>
      </c>
      <c r="C17" s="3">
        <v>3768</v>
      </c>
      <c r="D17" s="3">
        <f>C17</f>
        <v>3768</v>
      </c>
      <c r="E17">
        <v>0</v>
      </c>
      <c r="F17" s="40">
        <v>0</v>
      </c>
      <c r="G17" s="3">
        <f t="shared" si="4"/>
        <v>0</v>
      </c>
      <c r="I17" s="3">
        <v>44128</v>
      </c>
      <c r="J17" s="3">
        <f>I17</f>
        <v>44128</v>
      </c>
      <c r="K17" s="40">
        <v>0</v>
      </c>
      <c r="L17" s="40">
        <v>0</v>
      </c>
      <c r="M17" s="3">
        <f t="shared" ref="M17:M21" si="6">I17-SUM(J17:L17)</f>
        <v>0</v>
      </c>
      <c r="P17" s="3">
        <v>3768</v>
      </c>
      <c r="Q17" s="3">
        <v>3768</v>
      </c>
      <c r="R17" s="3">
        <v>0</v>
      </c>
      <c r="S17" s="3">
        <v>0</v>
      </c>
      <c r="T17" s="3">
        <v>0</v>
      </c>
    </row>
    <row r="18" spans="2:20" x14ac:dyDescent="0.25">
      <c r="B18" s="40" t="s">
        <v>169</v>
      </c>
      <c r="C18" s="3">
        <v>114390</v>
      </c>
      <c r="D18">
        <v>0</v>
      </c>
      <c r="E18" s="3">
        <f>C18</f>
        <v>114390</v>
      </c>
      <c r="F18" s="40">
        <v>0</v>
      </c>
      <c r="G18" s="3">
        <f t="shared" si="4"/>
        <v>0</v>
      </c>
      <c r="I18" s="3">
        <v>242672</v>
      </c>
      <c r="J18" s="40">
        <v>0</v>
      </c>
      <c r="K18" s="3">
        <f>I18</f>
        <v>242672</v>
      </c>
      <c r="L18" s="40">
        <v>0</v>
      </c>
      <c r="M18" s="3">
        <f t="shared" si="6"/>
        <v>0</v>
      </c>
      <c r="P18" s="3">
        <v>114390</v>
      </c>
      <c r="Q18" s="3">
        <v>0</v>
      </c>
      <c r="R18" s="3">
        <v>114390</v>
      </c>
      <c r="S18" s="3">
        <v>0</v>
      </c>
      <c r="T18" s="3">
        <v>0</v>
      </c>
    </row>
    <row r="19" spans="2:20" x14ac:dyDescent="0.25">
      <c r="B19" s="40" t="s">
        <v>84</v>
      </c>
      <c r="C19" s="3">
        <v>-185915</v>
      </c>
      <c r="D19" s="3">
        <f>C19</f>
        <v>-185915</v>
      </c>
      <c r="E19">
        <v>0</v>
      </c>
      <c r="F19" s="40">
        <v>0</v>
      </c>
      <c r="G19" s="3">
        <f t="shared" si="4"/>
        <v>0</v>
      </c>
      <c r="I19" s="3">
        <v>-44183</v>
      </c>
      <c r="J19" s="3">
        <f>I19</f>
        <v>-44183</v>
      </c>
      <c r="K19" s="40">
        <v>0</v>
      </c>
      <c r="L19" s="40">
        <v>0</v>
      </c>
      <c r="M19" s="3">
        <f t="shared" si="6"/>
        <v>0</v>
      </c>
      <c r="P19" s="3">
        <v>-185915</v>
      </c>
      <c r="Q19" s="3">
        <v>-185915</v>
      </c>
      <c r="R19" s="3">
        <v>0</v>
      </c>
      <c r="S19" s="3">
        <v>0</v>
      </c>
      <c r="T19" s="3">
        <v>0</v>
      </c>
    </row>
    <row r="20" spans="2:20" s="41" customFormat="1" x14ac:dyDescent="0.25">
      <c r="B20" s="41" t="s">
        <v>2</v>
      </c>
      <c r="C20" s="28">
        <f>SUM(C13:C19)</f>
        <v>3369316</v>
      </c>
      <c r="D20" s="28">
        <f t="shared" ref="D20:F20" si="7">SUM(D13:D19)</f>
        <v>2832340</v>
      </c>
      <c r="E20" s="28">
        <f t="shared" si="7"/>
        <v>559155</v>
      </c>
      <c r="F20" s="28">
        <f t="shared" si="7"/>
        <v>-22180</v>
      </c>
      <c r="G20" s="28">
        <f t="shared" si="4"/>
        <v>1</v>
      </c>
      <c r="I20" s="28">
        <f>SUM(I13:I19)</f>
        <v>4064894</v>
      </c>
      <c r="J20" s="28">
        <f t="shared" ref="J20" si="8">SUM(J13:J19)</f>
        <v>3809808</v>
      </c>
      <c r="K20" s="28">
        <f t="shared" ref="K20" si="9">SUM(K13:K19)</f>
        <v>289104</v>
      </c>
      <c r="L20" s="28">
        <f t="shared" ref="L20" si="10">SUM(L13:L19)</f>
        <v>-34018</v>
      </c>
      <c r="M20" s="28">
        <f t="shared" si="6"/>
        <v>0</v>
      </c>
      <c r="P20" s="28">
        <v>3369316</v>
      </c>
      <c r="Q20" s="28">
        <v>2832341</v>
      </c>
      <c r="R20" s="28">
        <v>559155</v>
      </c>
      <c r="S20" s="28">
        <v>-22180</v>
      </c>
      <c r="T20" s="28">
        <v>0</v>
      </c>
    </row>
    <row r="21" spans="2:20" x14ac:dyDescent="0.25">
      <c r="B21" s="40" t="s">
        <v>13</v>
      </c>
      <c r="C21" s="3">
        <v>1057528</v>
      </c>
      <c r="D21" s="3">
        <f>C21</f>
        <v>1057528</v>
      </c>
      <c r="E21">
        <v>0</v>
      </c>
      <c r="F21" s="40">
        <v>0</v>
      </c>
      <c r="G21" s="3">
        <f t="shared" si="4"/>
        <v>0</v>
      </c>
      <c r="I21" s="3">
        <v>798304</v>
      </c>
      <c r="J21" s="3">
        <f>I21</f>
        <v>798304</v>
      </c>
      <c r="K21">
        <v>0</v>
      </c>
      <c r="L21" s="40">
        <v>0</v>
      </c>
      <c r="M21" s="3">
        <f t="shared" si="6"/>
        <v>0</v>
      </c>
      <c r="P21" s="3">
        <v>1057528</v>
      </c>
      <c r="Q21" s="3">
        <v>1057528</v>
      </c>
      <c r="R21" s="3">
        <v>0</v>
      </c>
      <c r="S21" s="3">
        <v>0</v>
      </c>
      <c r="T21" s="3">
        <v>0</v>
      </c>
    </row>
    <row r="22" spans="2:20" s="41" customFormat="1" x14ac:dyDescent="0.25">
      <c r="B22" s="100" t="s">
        <v>3</v>
      </c>
      <c r="C22" s="118">
        <f>SUM(C20:C21)</f>
        <v>4426844</v>
      </c>
      <c r="D22" s="118">
        <f t="shared" ref="D22:G22" si="11">SUM(D20:D21)</f>
        <v>3889868</v>
      </c>
      <c r="E22" s="118">
        <f t="shared" si="11"/>
        <v>559155</v>
      </c>
      <c r="F22" s="118">
        <f t="shared" si="11"/>
        <v>-22180</v>
      </c>
      <c r="G22" s="118">
        <f t="shared" si="11"/>
        <v>1</v>
      </c>
      <c r="I22" s="118">
        <f>SUM(I20:I21)</f>
        <v>4863198</v>
      </c>
      <c r="J22" s="118">
        <f t="shared" ref="J22" si="12">SUM(J20:J21)</f>
        <v>4608112</v>
      </c>
      <c r="K22" s="118">
        <f t="shared" ref="K22" si="13">SUM(K20:K21)</f>
        <v>289104</v>
      </c>
      <c r="L22" s="118">
        <f t="shared" ref="L22" si="14">SUM(L20:L21)</f>
        <v>-34018</v>
      </c>
      <c r="M22" s="118">
        <f t="shared" ref="M22" si="15">SUM(M20:M21)</f>
        <v>0</v>
      </c>
      <c r="P22" s="28">
        <v>4426844</v>
      </c>
      <c r="Q22" s="28">
        <v>3889869</v>
      </c>
      <c r="R22" s="28">
        <v>559155</v>
      </c>
      <c r="S22" s="28">
        <v>-22180</v>
      </c>
      <c r="T22" s="28">
        <v>0</v>
      </c>
    </row>
    <row r="23" spans="2:20" x14ac:dyDescent="0.25">
      <c r="B23" s="40" t="s">
        <v>86</v>
      </c>
      <c r="C23" s="3">
        <v>229985</v>
      </c>
      <c r="D23" s="3">
        <f>C23</f>
        <v>229985</v>
      </c>
      <c r="E23">
        <v>0</v>
      </c>
      <c r="F23" s="40">
        <v>0</v>
      </c>
      <c r="G23" s="3">
        <f t="shared" si="4"/>
        <v>0</v>
      </c>
      <c r="I23" s="3">
        <f>FactSheet_Cons!G19*1000</f>
        <v>-984000</v>
      </c>
      <c r="J23" s="3">
        <f>I23</f>
        <v>-984000</v>
      </c>
      <c r="K23" s="40">
        <v>0</v>
      </c>
      <c r="L23" s="40">
        <v>0</v>
      </c>
      <c r="M23" s="3">
        <f t="shared" ref="M23:M25" si="16">I23-SUM(J23:L23)</f>
        <v>0</v>
      </c>
      <c r="P23" s="3">
        <v>229985</v>
      </c>
      <c r="Q23" s="3">
        <v>229985</v>
      </c>
      <c r="R23" s="3">
        <v>0</v>
      </c>
      <c r="S23" s="3">
        <v>0</v>
      </c>
      <c r="T23" s="3">
        <v>0</v>
      </c>
    </row>
    <row r="24" spans="2:20" x14ac:dyDescent="0.25">
      <c r="B24" s="40" t="s">
        <v>176</v>
      </c>
      <c r="C24">
        <v>0</v>
      </c>
      <c r="D24" s="40">
        <v>0</v>
      </c>
      <c r="E24" s="40">
        <v>0</v>
      </c>
      <c r="F24" s="40">
        <v>0</v>
      </c>
      <c r="G24" s="3">
        <f t="shared" si="4"/>
        <v>0</v>
      </c>
      <c r="I24" s="3">
        <v>107296</v>
      </c>
      <c r="J24" s="3">
        <v>7973</v>
      </c>
      <c r="K24" s="3">
        <f>I24-J24</f>
        <v>99323</v>
      </c>
      <c r="L24" s="40">
        <v>0</v>
      </c>
      <c r="M24" s="3">
        <f t="shared" si="16"/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2:20" x14ac:dyDescent="0.25">
      <c r="B25" s="40" t="s">
        <v>170</v>
      </c>
      <c r="C25" s="3">
        <v>-48000</v>
      </c>
      <c r="D25" s="3">
        <f>C25</f>
        <v>-48000</v>
      </c>
      <c r="E25">
        <v>0</v>
      </c>
      <c r="F25" s="40">
        <v>0</v>
      </c>
      <c r="G25" s="3">
        <f t="shared" si="4"/>
        <v>0</v>
      </c>
      <c r="I25" s="3">
        <v>-142000</v>
      </c>
      <c r="J25" s="3">
        <f>I25</f>
        <v>-142000</v>
      </c>
      <c r="K25" s="40">
        <v>0</v>
      </c>
      <c r="L25" s="40">
        <v>0</v>
      </c>
      <c r="M25" s="3">
        <f t="shared" si="16"/>
        <v>0</v>
      </c>
      <c r="P25" s="3">
        <v>-48000</v>
      </c>
      <c r="Q25" s="3">
        <v>-48000</v>
      </c>
      <c r="R25" s="3">
        <v>0</v>
      </c>
      <c r="S25" s="3">
        <v>0</v>
      </c>
      <c r="T25" s="3">
        <v>0</v>
      </c>
    </row>
    <row r="26" spans="2:20" s="41" customFormat="1" x14ac:dyDescent="0.25">
      <c r="B26" s="100" t="s">
        <v>28</v>
      </c>
      <c r="C26" s="118">
        <f>SUM(C22:C25)</f>
        <v>4608829</v>
      </c>
      <c r="D26" s="118">
        <f t="shared" ref="D26:F26" si="17">SUM(D22:D25)</f>
        <v>4071853</v>
      </c>
      <c r="E26" s="118">
        <f t="shared" si="17"/>
        <v>559155</v>
      </c>
      <c r="F26" s="118">
        <f t="shared" si="17"/>
        <v>-22180</v>
      </c>
      <c r="G26" s="118">
        <f t="shared" si="4"/>
        <v>1</v>
      </c>
      <c r="I26" s="118">
        <f>SUM(I22:I25)</f>
        <v>3844494</v>
      </c>
      <c r="J26" s="118">
        <f t="shared" ref="J26" si="18">SUM(J22:J25)</f>
        <v>3490085</v>
      </c>
      <c r="K26" s="118">
        <f t="shared" ref="K26" si="19">SUM(K22:K25)</f>
        <v>388427</v>
      </c>
      <c r="L26" s="118">
        <f t="shared" ref="L26" si="20">SUM(L22:L25)</f>
        <v>-34018</v>
      </c>
      <c r="M26" s="118">
        <f t="shared" ref="M26" si="21">I26-SUM(J26:L26)</f>
        <v>0</v>
      </c>
      <c r="P26" s="28">
        <v>4608829</v>
      </c>
      <c r="Q26" s="28">
        <v>4071854</v>
      </c>
      <c r="R26" s="28">
        <v>559155</v>
      </c>
      <c r="S26" s="28">
        <v>-22180</v>
      </c>
      <c r="T26" s="28">
        <v>0</v>
      </c>
    </row>
    <row r="27" spans="2:20" x14ac:dyDescent="0.25">
      <c r="P27" s="3"/>
      <c r="Q27" s="3"/>
      <c r="R27" s="3"/>
      <c r="S27" s="3"/>
      <c r="T27" s="3"/>
    </row>
    <row r="28" spans="2:20" x14ac:dyDescent="0.25">
      <c r="C28" s="119">
        <v>2019</v>
      </c>
      <c r="D28" s="119"/>
      <c r="E28" s="119"/>
      <c r="F28" s="119"/>
      <c r="G28" s="40"/>
      <c r="H28" s="40"/>
      <c r="I28" s="119">
        <v>2018</v>
      </c>
      <c r="J28" s="119"/>
      <c r="K28" s="119"/>
      <c r="L28" s="119"/>
      <c r="M28" s="40"/>
      <c r="P28" s="3">
        <v>2019</v>
      </c>
      <c r="Q28" s="3"/>
      <c r="R28" s="3"/>
      <c r="S28" s="3"/>
      <c r="T28" s="3"/>
    </row>
    <row r="29" spans="2:20" ht="15.75" thickBot="1" x14ac:dyDescent="0.3">
      <c r="C29" s="83" t="s">
        <v>204</v>
      </c>
      <c r="D29" s="83" t="s">
        <v>1</v>
      </c>
      <c r="E29" s="83" t="s">
        <v>5</v>
      </c>
      <c r="F29" s="83" t="s">
        <v>12</v>
      </c>
      <c r="G29" s="83" t="s">
        <v>234</v>
      </c>
      <c r="H29" s="40"/>
      <c r="I29" s="83" t="s">
        <v>204</v>
      </c>
      <c r="J29" s="83" t="s">
        <v>1</v>
      </c>
      <c r="K29" s="83" t="s">
        <v>5</v>
      </c>
      <c r="L29" s="83" t="s">
        <v>12</v>
      </c>
      <c r="M29" s="83" t="s">
        <v>234</v>
      </c>
      <c r="P29" s="3" t="s">
        <v>204</v>
      </c>
      <c r="Q29" s="3" t="s">
        <v>1</v>
      </c>
      <c r="R29" s="3" t="s">
        <v>5</v>
      </c>
      <c r="S29" s="3" t="s">
        <v>12</v>
      </c>
      <c r="T29" s="3" t="s">
        <v>234</v>
      </c>
    </row>
    <row r="30" spans="2:20" s="40" customFormat="1" x14ac:dyDescent="0.25">
      <c r="C30" s="84"/>
      <c r="D30" s="84"/>
      <c r="E30" s="84"/>
      <c r="F30" s="84"/>
      <c r="G30" s="84"/>
      <c r="I30" s="84"/>
      <c r="J30" s="84"/>
      <c r="K30" s="84"/>
      <c r="L30" s="84"/>
      <c r="M30" s="84"/>
      <c r="P30" s="3"/>
      <c r="Q30" s="3"/>
      <c r="R30" s="3"/>
      <c r="S30" s="3"/>
      <c r="T30" s="3"/>
    </row>
    <row r="31" spans="2:20" x14ac:dyDescent="0.25">
      <c r="B31" s="40" t="s">
        <v>192</v>
      </c>
      <c r="C31" s="3">
        <f>ROUND(C5/1000,0)</f>
        <v>4168</v>
      </c>
      <c r="D31" s="3">
        <f t="shared" ref="D31:F32" si="22">ROUND(D5/1000,0)</f>
        <v>2377</v>
      </c>
      <c r="E31" s="3">
        <f t="shared" si="22"/>
        <v>1776</v>
      </c>
      <c r="F31" s="3">
        <f t="shared" si="22"/>
        <v>15</v>
      </c>
      <c r="G31" s="3">
        <f>C31-SUM(D31:F31)</f>
        <v>0</v>
      </c>
      <c r="I31" s="3">
        <f>ROUND(I5/1000,0)+1</f>
        <v>2122</v>
      </c>
      <c r="J31" s="3">
        <f t="shared" ref="J31:K31" si="23">ROUND(J5/1000,0)</f>
        <v>2374</v>
      </c>
      <c r="K31" s="3">
        <f t="shared" si="23"/>
        <v>-135</v>
      </c>
      <c r="L31" s="3">
        <f>ROUND(L5/1000,0)+1</f>
        <v>-117</v>
      </c>
      <c r="M31" s="3">
        <f>I31-SUM(J31:L31)</f>
        <v>0</v>
      </c>
      <c r="P31" s="3">
        <v>4168</v>
      </c>
      <c r="Q31" s="3">
        <v>2377</v>
      </c>
      <c r="R31" s="3">
        <v>1776</v>
      </c>
      <c r="S31" s="3">
        <v>15</v>
      </c>
      <c r="T31" s="3">
        <v>0</v>
      </c>
    </row>
    <row r="32" spans="2:20" x14ac:dyDescent="0.25">
      <c r="B32" s="40" t="s">
        <v>97</v>
      </c>
      <c r="C32" s="3">
        <f>ROUND(C6/1000,0)</f>
        <v>-1621</v>
      </c>
      <c r="D32" s="3">
        <f t="shared" si="22"/>
        <v>-1555</v>
      </c>
      <c r="E32" s="3">
        <f t="shared" si="22"/>
        <v>-51</v>
      </c>
      <c r="F32" s="3">
        <f t="shared" si="22"/>
        <v>-16</v>
      </c>
      <c r="G32" s="3">
        <f>C32-SUM(D32:F32)</f>
        <v>1</v>
      </c>
      <c r="I32" s="3">
        <f>ROUND(I6/1000,0)</f>
        <v>-1602</v>
      </c>
      <c r="J32" s="3">
        <f t="shared" ref="J32:L32" si="24">ROUND(J6/1000,0)</f>
        <v>-1549</v>
      </c>
      <c r="K32" s="3">
        <f t="shared" si="24"/>
        <v>-38</v>
      </c>
      <c r="L32" s="3">
        <f t="shared" si="24"/>
        <v>-15</v>
      </c>
      <c r="M32" s="3">
        <f>I32-SUM(J32:L32)</f>
        <v>0</v>
      </c>
      <c r="P32" s="3">
        <v>-1621</v>
      </c>
      <c r="Q32" s="3">
        <v>-1555</v>
      </c>
      <c r="R32" s="3">
        <v>-51</v>
      </c>
      <c r="S32" s="3">
        <v>-16</v>
      </c>
      <c r="T32" s="3">
        <v>1</v>
      </c>
    </row>
    <row r="33" spans="2:20" x14ac:dyDescent="0.25">
      <c r="B33" s="41" t="s">
        <v>232</v>
      </c>
      <c r="C33" s="28">
        <f>SUM(C31:C32)</f>
        <v>2547</v>
      </c>
      <c r="D33" s="28">
        <f t="shared" ref="D33:F33" si="25">SUM(D31:D32)</f>
        <v>822</v>
      </c>
      <c r="E33" s="28">
        <f t="shared" si="25"/>
        <v>1725</v>
      </c>
      <c r="F33" s="28">
        <f t="shared" si="25"/>
        <v>-1</v>
      </c>
      <c r="G33" s="28">
        <f>C33-SUM(D33:F33)</f>
        <v>1</v>
      </c>
      <c r="I33" s="28">
        <f>SUM(I31:I32)</f>
        <v>520</v>
      </c>
      <c r="J33" s="28">
        <f t="shared" ref="J33" si="26">SUM(J31:J32)</f>
        <v>825</v>
      </c>
      <c r="K33" s="28">
        <f t="shared" ref="K33" si="27">SUM(K31:K32)</f>
        <v>-173</v>
      </c>
      <c r="L33" s="28">
        <f t="shared" ref="L33" si="28">SUM(L31:L32)</f>
        <v>-132</v>
      </c>
      <c r="M33" s="28">
        <f>I33-SUM(J33:L33)</f>
        <v>0</v>
      </c>
      <c r="P33" s="3">
        <v>2547</v>
      </c>
      <c r="Q33" s="3">
        <v>822</v>
      </c>
      <c r="R33" s="3">
        <v>1725</v>
      </c>
      <c r="S33" s="3">
        <v>-1</v>
      </c>
      <c r="T33" s="3">
        <v>1</v>
      </c>
    </row>
    <row r="34" spans="2:20" x14ac:dyDescent="0.25">
      <c r="B34" s="40" t="s">
        <v>233</v>
      </c>
      <c r="C34" s="3">
        <f>ROUND(C8/1000,0)</f>
        <v>-1586</v>
      </c>
      <c r="D34" s="3"/>
      <c r="E34" s="3"/>
      <c r="F34" s="3"/>
      <c r="G34" s="3"/>
      <c r="I34" s="3">
        <f>ROUND(I8/1000,0)</f>
        <v>-1047</v>
      </c>
      <c r="J34" s="3"/>
      <c r="K34" s="3"/>
      <c r="L34" s="3"/>
      <c r="M34" s="3"/>
      <c r="P34" s="3">
        <v>-1586</v>
      </c>
      <c r="Q34" s="3"/>
      <c r="R34" s="3"/>
      <c r="S34" s="3"/>
      <c r="T34" s="3"/>
    </row>
    <row r="35" spans="2:20" x14ac:dyDescent="0.25">
      <c r="B35" s="40" t="s">
        <v>43</v>
      </c>
      <c r="C35" s="3">
        <f>ROUND(C9/1000,0)</f>
        <v>-456</v>
      </c>
      <c r="D35" s="3"/>
      <c r="E35" s="3"/>
      <c r="F35" s="3"/>
      <c r="G35" s="3"/>
      <c r="I35" s="3">
        <f>ROUND(I9/1000,0)</f>
        <v>-35</v>
      </c>
      <c r="J35" s="3"/>
      <c r="K35" s="3"/>
      <c r="L35" s="3"/>
      <c r="M35" s="3"/>
      <c r="P35" s="3">
        <v>-456</v>
      </c>
      <c r="Q35" s="3"/>
      <c r="R35" s="3"/>
      <c r="S35" s="3"/>
      <c r="T35" s="3"/>
    </row>
    <row r="36" spans="2:20" x14ac:dyDescent="0.25">
      <c r="B36" s="41" t="s">
        <v>193</v>
      </c>
      <c r="C36" s="28">
        <f>SUM(C33:C35)</f>
        <v>505</v>
      </c>
      <c r="I36" s="28">
        <f>SUM(I33:I35)</f>
        <v>-562</v>
      </c>
      <c r="J36" s="40"/>
      <c r="K36" s="40"/>
      <c r="L36" s="40"/>
      <c r="M36" s="40"/>
      <c r="P36" s="3">
        <v>505</v>
      </c>
      <c r="Q36" s="3"/>
      <c r="R36" s="3"/>
      <c r="S36" s="3"/>
      <c r="T36" s="3"/>
    </row>
    <row r="37" spans="2:20" x14ac:dyDescent="0.25">
      <c r="I37" s="40"/>
      <c r="J37" s="40"/>
      <c r="K37" s="40"/>
      <c r="L37" s="40"/>
      <c r="M37" s="40"/>
    </row>
    <row r="38" spans="2:20" x14ac:dyDescent="0.25">
      <c r="I38" s="40"/>
      <c r="J38" s="40"/>
      <c r="K38" s="40"/>
      <c r="L38" s="40"/>
      <c r="M38" s="40"/>
    </row>
    <row r="39" spans="2:20" x14ac:dyDescent="0.25">
      <c r="B39" s="28" t="s">
        <v>230</v>
      </c>
      <c r="C39" s="28">
        <f>ROUND(C13/1000,0)</f>
        <v>3064</v>
      </c>
      <c r="D39" s="28">
        <f t="shared" ref="D39:F39" si="29">ROUND(D13/1000,0)</f>
        <v>2902</v>
      </c>
      <c r="E39" s="28">
        <f t="shared" si="29"/>
        <v>398</v>
      </c>
      <c r="F39" s="28">
        <f t="shared" si="29"/>
        <v>-235</v>
      </c>
      <c r="G39" s="28">
        <f t="shared" ref="G39:G52" si="30">C39-SUM(D39:F39)</f>
        <v>-1</v>
      </c>
      <c r="H39" s="41"/>
      <c r="I39" s="28">
        <f>ROUND(I13/1000,0)</f>
        <v>2811</v>
      </c>
      <c r="J39" s="28">
        <f t="shared" ref="J39:L39" si="31">ROUND(J13/1000,0)</f>
        <v>3784</v>
      </c>
      <c r="K39" s="28">
        <f t="shared" si="31"/>
        <v>24</v>
      </c>
      <c r="L39" s="28">
        <f t="shared" si="31"/>
        <v>-996</v>
      </c>
      <c r="M39" s="28">
        <f t="shared" ref="M39:M52" si="32">I39-SUM(J39:L39)</f>
        <v>-1</v>
      </c>
    </row>
    <row r="40" spans="2:20" x14ac:dyDescent="0.25">
      <c r="B40" s="40" t="s">
        <v>150</v>
      </c>
      <c r="C40" s="3">
        <f t="shared" ref="C40:F51" si="33">ROUND(C14/1000,0)</f>
        <v>373</v>
      </c>
      <c r="D40" s="3">
        <f t="shared" si="33"/>
        <v>113</v>
      </c>
      <c r="E40" s="3">
        <f t="shared" si="33"/>
        <v>47</v>
      </c>
      <c r="F40" s="3">
        <f t="shared" si="33"/>
        <v>213</v>
      </c>
      <c r="G40" s="3">
        <f t="shared" si="30"/>
        <v>0</v>
      </c>
      <c r="H40" s="40"/>
      <c r="I40" s="3">
        <f t="shared" ref="I40:L40" si="34">ROUND(I14/1000,0)</f>
        <v>258</v>
      </c>
      <c r="J40" s="3">
        <f t="shared" si="34"/>
        <v>26</v>
      </c>
      <c r="K40" s="3">
        <f t="shared" si="34"/>
        <v>23</v>
      </c>
      <c r="L40" s="3">
        <f t="shared" si="34"/>
        <v>209</v>
      </c>
      <c r="M40" s="3">
        <f t="shared" si="32"/>
        <v>0</v>
      </c>
    </row>
    <row r="41" spans="2:20" x14ac:dyDescent="0.25">
      <c r="B41" s="40" t="s">
        <v>178</v>
      </c>
      <c r="C41" s="3">
        <f t="shared" si="33"/>
        <v>0</v>
      </c>
      <c r="D41" s="3">
        <f t="shared" si="33"/>
        <v>0</v>
      </c>
      <c r="E41" s="3">
        <f t="shared" si="33"/>
        <v>0</v>
      </c>
      <c r="F41" s="3">
        <f t="shared" si="33"/>
        <v>0</v>
      </c>
      <c r="G41" s="3">
        <f t="shared" ref="G41" si="35">C41-SUM(D41:F41)</f>
        <v>0</v>
      </c>
      <c r="H41" s="40"/>
      <c r="I41" s="3">
        <f t="shared" ref="I41:L41" si="36">ROUND(I15/1000,0)</f>
        <v>753</v>
      </c>
      <c r="J41" s="3">
        <f t="shared" si="36"/>
        <v>0</v>
      </c>
      <c r="K41" s="3">
        <f t="shared" si="36"/>
        <v>0</v>
      </c>
      <c r="L41" s="3">
        <f t="shared" si="36"/>
        <v>753</v>
      </c>
      <c r="M41" s="3">
        <f t="shared" si="32"/>
        <v>0</v>
      </c>
    </row>
    <row r="42" spans="2:20" x14ac:dyDescent="0.25">
      <c r="B42" s="40" t="s">
        <v>167</v>
      </c>
      <c r="C42" s="3">
        <f t="shared" si="33"/>
        <v>0</v>
      </c>
      <c r="D42" s="3">
        <f t="shared" si="33"/>
        <v>0</v>
      </c>
      <c r="E42" s="3">
        <f t="shared" si="33"/>
        <v>0</v>
      </c>
      <c r="F42" s="3">
        <f t="shared" si="33"/>
        <v>0</v>
      </c>
      <c r="G42" s="3">
        <f t="shared" ref="G42" si="37">C42-SUM(D42:F42)</f>
        <v>0</v>
      </c>
      <c r="H42" s="40"/>
      <c r="I42" s="3">
        <f t="shared" ref="I42:L42" si="38">ROUND(I16/1000,0)</f>
        <v>0</v>
      </c>
      <c r="J42" s="3">
        <f t="shared" si="38"/>
        <v>0</v>
      </c>
      <c r="K42" s="3">
        <f t="shared" si="38"/>
        <v>0</v>
      </c>
      <c r="L42" s="3">
        <f t="shared" si="38"/>
        <v>0</v>
      </c>
      <c r="M42" s="3">
        <f t="shared" si="32"/>
        <v>0</v>
      </c>
    </row>
    <row r="43" spans="2:20" x14ac:dyDescent="0.25">
      <c r="B43" s="40" t="s">
        <v>175</v>
      </c>
      <c r="C43" s="3">
        <f t="shared" si="33"/>
        <v>4</v>
      </c>
      <c r="D43" s="3">
        <f t="shared" si="33"/>
        <v>4</v>
      </c>
      <c r="E43" s="3">
        <f t="shared" si="33"/>
        <v>0</v>
      </c>
      <c r="F43" s="3">
        <f t="shared" si="33"/>
        <v>0</v>
      </c>
      <c r="G43" s="3">
        <f t="shared" ref="G43" si="39">C43-SUM(D43:F43)</f>
        <v>0</v>
      </c>
      <c r="H43" s="40"/>
      <c r="I43" s="3">
        <f t="shared" ref="I43:L43" si="40">ROUND(I17/1000,0)</f>
        <v>44</v>
      </c>
      <c r="J43" s="3">
        <f t="shared" si="40"/>
        <v>44</v>
      </c>
      <c r="K43" s="3">
        <f t="shared" si="40"/>
        <v>0</v>
      </c>
      <c r="L43" s="3">
        <f t="shared" si="40"/>
        <v>0</v>
      </c>
      <c r="M43" s="3">
        <f t="shared" si="32"/>
        <v>0</v>
      </c>
    </row>
    <row r="44" spans="2:20" x14ac:dyDescent="0.25">
      <c r="B44" s="40" t="s">
        <v>169</v>
      </c>
      <c r="C44" s="3">
        <f t="shared" si="33"/>
        <v>114</v>
      </c>
      <c r="D44" s="3">
        <f t="shared" si="33"/>
        <v>0</v>
      </c>
      <c r="E44" s="3">
        <f t="shared" si="33"/>
        <v>114</v>
      </c>
      <c r="F44" s="3">
        <f t="shared" si="33"/>
        <v>0</v>
      </c>
      <c r="G44" s="3">
        <f t="shared" ref="G44" si="41">C44-SUM(D44:F44)</f>
        <v>0</v>
      </c>
      <c r="H44" s="40"/>
      <c r="I44" s="3">
        <f t="shared" ref="I44:L44" si="42">ROUND(I18/1000,0)</f>
        <v>243</v>
      </c>
      <c r="J44" s="3">
        <f t="shared" si="42"/>
        <v>0</v>
      </c>
      <c r="K44" s="3">
        <f t="shared" si="42"/>
        <v>243</v>
      </c>
      <c r="L44" s="3">
        <f t="shared" si="42"/>
        <v>0</v>
      </c>
      <c r="M44" s="3">
        <f t="shared" si="32"/>
        <v>0</v>
      </c>
    </row>
    <row r="45" spans="2:20" x14ac:dyDescent="0.25">
      <c r="B45" s="40" t="s">
        <v>84</v>
      </c>
      <c r="C45" s="3">
        <f t="shared" si="33"/>
        <v>-186</v>
      </c>
      <c r="D45" s="3">
        <f t="shared" si="33"/>
        <v>-186</v>
      </c>
      <c r="E45" s="3">
        <f t="shared" si="33"/>
        <v>0</v>
      </c>
      <c r="F45" s="3">
        <f t="shared" si="33"/>
        <v>0</v>
      </c>
      <c r="G45" s="3">
        <f t="shared" ref="G45" si="43">C45-SUM(D45:F45)</f>
        <v>0</v>
      </c>
      <c r="H45" s="40"/>
      <c r="I45" s="3">
        <f t="shared" ref="I45:L45" si="44">ROUND(I19/1000,0)</f>
        <v>-44</v>
      </c>
      <c r="J45" s="3">
        <f t="shared" si="44"/>
        <v>-44</v>
      </c>
      <c r="K45" s="3">
        <f t="shared" si="44"/>
        <v>0</v>
      </c>
      <c r="L45" s="3">
        <f t="shared" si="44"/>
        <v>0</v>
      </c>
      <c r="M45" s="3">
        <f t="shared" si="32"/>
        <v>0</v>
      </c>
    </row>
    <row r="46" spans="2:20" x14ac:dyDescent="0.25">
      <c r="B46" s="41" t="s">
        <v>2</v>
      </c>
      <c r="C46" s="28">
        <f>SUM(C39:C45)</f>
        <v>3369</v>
      </c>
      <c r="D46" s="28">
        <f t="shared" ref="D46" si="45">SUM(D39:D45)</f>
        <v>2833</v>
      </c>
      <c r="E46" s="28">
        <f t="shared" ref="E46" si="46">SUM(E39:E45)</f>
        <v>559</v>
      </c>
      <c r="F46" s="28">
        <f t="shared" ref="F46" si="47">SUM(F39:F45)</f>
        <v>-22</v>
      </c>
      <c r="G46" s="28">
        <f t="shared" si="30"/>
        <v>-1</v>
      </c>
      <c r="H46" s="41"/>
      <c r="I46" s="28">
        <f>SUM(I39:I45)</f>
        <v>4065</v>
      </c>
      <c r="J46" s="28">
        <f t="shared" ref="J46" si="48">SUM(J39:J45)</f>
        <v>3810</v>
      </c>
      <c r="K46" s="28">
        <f t="shared" ref="K46" si="49">SUM(K39:K45)</f>
        <v>290</v>
      </c>
      <c r="L46" s="28">
        <f t="shared" ref="L46" si="50">SUM(L39:L45)</f>
        <v>-34</v>
      </c>
      <c r="M46" s="28">
        <f t="shared" si="32"/>
        <v>-1</v>
      </c>
    </row>
    <row r="47" spans="2:20" x14ac:dyDescent="0.25">
      <c r="B47" s="40" t="s">
        <v>13</v>
      </c>
      <c r="C47" s="3">
        <f t="shared" si="33"/>
        <v>1058</v>
      </c>
      <c r="D47" s="3">
        <f t="shared" si="33"/>
        <v>1058</v>
      </c>
      <c r="E47" s="3">
        <f t="shared" si="33"/>
        <v>0</v>
      </c>
      <c r="F47" s="3">
        <f t="shared" si="33"/>
        <v>0</v>
      </c>
      <c r="G47" s="3">
        <f t="shared" si="30"/>
        <v>0</v>
      </c>
      <c r="H47" s="40"/>
      <c r="I47" s="3">
        <f t="shared" ref="I47:L47" si="51">ROUND(I21/1000,0)</f>
        <v>798</v>
      </c>
      <c r="J47" s="3">
        <f t="shared" si="51"/>
        <v>798</v>
      </c>
      <c r="K47" s="3">
        <f t="shared" si="51"/>
        <v>0</v>
      </c>
      <c r="L47" s="3">
        <f t="shared" si="51"/>
        <v>0</v>
      </c>
      <c r="M47" s="3">
        <f t="shared" si="32"/>
        <v>0</v>
      </c>
    </row>
    <row r="48" spans="2:20" x14ac:dyDescent="0.25">
      <c r="B48" s="100" t="s">
        <v>3</v>
      </c>
      <c r="C48" s="118">
        <f>SUM(C46:C47)</f>
        <v>4427</v>
      </c>
      <c r="D48" s="118">
        <f t="shared" ref="D48" si="52">SUM(D46:D47)</f>
        <v>3891</v>
      </c>
      <c r="E48" s="118">
        <f t="shared" ref="E48" si="53">SUM(E46:E47)</f>
        <v>559</v>
      </c>
      <c r="F48" s="118">
        <f t="shared" ref="F48" si="54">SUM(F46:F47)</f>
        <v>-22</v>
      </c>
      <c r="G48" s="118">
        <f t="shared" si="30"/>
        <v>-1</v>
      </c>
      <c r="H48" s="41"/>
      <c r="I48" s="118">
        <f>SUM(I46:I47)+1</f>
        <v>4864</v>
      </c>
      <c r="J48" s="118">
        <f t="shared" ref="J48" si="55">SUM(J46:J47)</f>
        <v>4608</v>
      </c>
      <c r="K48" s="118">
        <f t="shared" ref="K48" si="56">SUM(K46:K47)</f>
        <v>290</v>
      </c>
      <c r="L48" s="118">
        <f t="shared" ref="L48" si="57">SUM(L46:L47)</f>
        <v>-34</v>
      </c>
      <c r="M48" s="118">
        <f t="shared" si="32"/>
        <v>0</v>
      </c>
    </row>
    <row r="49" spans="2:13" x14ac:dyDescent="0.25">
      <c r="B49" s="40" t="s">
        <v>86</v>
      </c>
      <c r="C49" s="3">
        <f t="shared" si="33"/>
        <v>230</v>
      </c>
      <c r="D49" s="3">
        <f t="shared" si="33"/>
        <v>230</v>
      </c>
      <c r="E49" s="3">
        <f t="shared" si="33"/>
        <v>0</v>
      </c>
      <c r="F49" s="3">
        <f t="shared" si="33"/>
        <v>0</v>
      </c>
      <c r="G49" s="3">
        <f t="shared" ref="G49" si="58">C49-SUM(D49:F49)</f>
        <v>0</v>
      </c>
      <c r="H49" s="40"/>
      <c r="I49" s="3">
        <f t="shared" ref="I49:L49" si="59">ROUND(I23/1000,0)</f>
        <v>-984</v>
      </c>
      <c r="J49" s="3">
        <f t="shared" si="59"/>
        <v>-984</v>
      </c>
      <c r="K49" s="3">
        <f t="shared" si="59"/>
        <v>0</v>
      </c>
      <c r="L49" s="3">
        <f t="shared" si="59"/>
        <v>0</v>
      </c>
      <c r="M49" s="3">
        <f t="shared" si="32"/>
        <v>0</v>
      </c>
    </row>
    <row r="50" spans="2:13" x14ac:dyDescent="0.25">
      <c r="B50" s="40" t="s">
        <v>176</v>
      </c>
      <c r="C50" s="3">
        <f t="shared" si="33"/>
        <v>0</v>
      </c>
      <c r="D50" s="3">
        <f t="shared" si="33"/>
        <v>0</v>
      </c>
      <c r="E50" s="3">
        <f t="shared" si="33"/>
        <v>0</v>
      </c>
      <c r="F50" s="3">
        <f t="shared" si="33"/>
        <v>0</v>
      </c>
      <c r="G50" s="3">
        <f t="shared" ref="G50" si="60">C50-SUM(D50:F50)</f>
        <v>0</v>
      </c>
      <c r="H50" s="40"/>
      <c r="I50" s="3">
        <f t="shared" ref="I50:L50" si="61">ROUND(I24/1000,0)</f>
        <v>107</v>
      </c>
      <c r="J50" s="3">
        <f t="shared" si="61"/>
        <v>8</v>
      </c>
      <c r="K50" s="3">
        <f t="shared" si="61"/>
        <v>99</v>
      </c>
      <c r="L50" s="3">
        <f t="shared" si="61"/>
        <v>0</v>
      </c>
      <c r="M50" s="3">
        <f t="shared" si="32"/>
        <v>0</v>
      </c>
    </row>
    <row r="51" spans="2:13" x14ac:dyDescent="0.25">
      <c r="B51" s="40" t="s">
        <v>170</v>
      </c>
      <c r="C51" s="3">
        <f t="shared" si="33"/>
        <v>-48</v>
      </c>
      <c r="D51" s="3">
        <f t="shared" si="33"/>
        <v>-48</v>
      </c>
      <c r="E51" s="3">
        <f t="shared" si="33"/>
        <v>0</v>
      </c>
      <c r="F51" s="3">
        <f t="shared" si="33"/>
        <v>0</v>
      </c>
      <c r="G51" s="3">
        <f t="shared" ref="G51" si="62">C51-SUM(D51:F51)</f>
        <v>0</v>
      </c>
      <c r="H51" s="40"/>
      <c r="I51" s="3">
        <f t="shared" ref="I51:L51" si="63">ROUND(I25/1000,0)</f>
        <v>-142</v>
      </c>
      <c r="J51" s="3">
        <f t="shared" si="63"/>
        <v>-142</v>
      </c>
      <c r="K51" s="3">
        <f t="shared" si="63"/>
        <v>0</v>
      </c>
      <c r="L51" s="3">
        <f t="shared" si="63"/>
        <v>0</v>
      </c>
      <c r="M51" s="3">
        <f t="shared" si="32"/>
        <v>0</v>
      </c>
    </row>
    <row r="52" spans="2:13" x14ac:dyDescent="0.25">
      <c r="B52" s="100" t="s">
        <v>28</v>
      </c>
      <c r="C52" s="118">
        <f>SUM(C48:C51)</f>
        <v>4609</v>
      </c>
      <c r="D52" s="118">
        <f t="shared" ref="D52" si="64">SUM(D48:D51)</f>
        <v>4073</v>
      </c>
      <c r="E52" s="118">
        <f t="shared" ref="E52" si="65">SUM(E48:E51)</f>
        <v>559</v>
      </c>
      <c r="F52" s="118">
        <f t="shared" ref="F52" si="66">SUM(F48:F51)</f>
        <v>-22</v>
      </c>
      <c r="G52" s="118">
        <f t="shared" si="30"/>
        <v>-1</v>
      </c>
      <c r="H52" s="41"/>
      <c r="I52" s="118">
        <f>SUM(I48:I51)</f>
        <v>3845</v>
      </c>
      <c r="J52" s="118">
        <f t="shared" ref="J52" si="67">SUM(J48:J51)</f>
        <v>3490</v>
      </c>
      <c r="K52" s="118">
        <f>SUM(K48:K51)+1</f>
        <v>390</v>
      </c>
      <c r="L52" s="118">
        <f>SUM(L48:L51)-1</f>
        <v>-35</v>
      </c>
      <c r="M52" s="118">
        <f t="shared" si="32"/>
        <v>0</v>
      </c>
    </row>
  </sheetData>
  <mergeCells count="4">
    <mergeCell ref="C2:F2"/>
    <mergeCell ref="I2:L2"/>
    <mergeCell ref="C28:F28"/>
    <mergeCell ref="I28:L28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N39"/>
  <sheetViews>
    <sheetView showGridLines="0" zoomScale="80" zoomScaleNormal="80" workbookViewId="0">
      <selection activeCell="J13" sqref="J13"/>
    </sheetView>
  </sheetViews>
  <sheetFormatPr defaultRowHeight="15" x14ac:dyDescent="0.25"/>
  <cols>
    <col min="3" max="3" width="33.140625" bestFit="1" customWidth="1"/>
    <col min="5" max="5" width="9.85546875" bestFit="1" customWidth="1"/>
    <col min="6" max="6" width="2.140625" customWidth="1"/>
    <col min="7" max="7" width="9.85546875" bestFit="1" customWidth="1"/>
    <col min="10" max="10" width="39.42578125" bestFit="1" customWidth="1"/>
  </cols>
  <sheetData>
    <row r="5" spans="3:14" x14ac:dyDescent="0.25">
      <c r="C5" s="18" t="s">
        <v>20</v>
      </c>
      <c r="E5" s="41">
        <v>2019</v>
      </c>
      <c r="G5" s="41">
        <v>2018</v>
      </c>
      <c r="K5" s="41">
        <v>2019</v>
      </c>
      <c r="L5" s="41">
        <v>2018</v>
      </c>
    </row>
    <row r="6" spans="3:14" x14ac:dyDescent="0.25">
      <c r="G6" s="41"/>
    </row>
    <row r="7" spans="3:14" s="41" customFormat="1" x14ac:dyDescent="0.25">
      <c r="C7" s="41" t="s">
        <v>229</v>
      </c>
      <c r="E7" s="28">
        <v>-114390</v>
      </c>
      <c r="G7" s="116">
        <v>-242672</v>
      </c>
      <c r="J7" s="18" t="s">
        <v>20</v>
      </c>
      <c r="K7" s="28">
        <f>SUM(K8,K10,K12:K14)</f>
        <v>-1605.0929999999998</v>
      </c>
      <c r="L7" s="28">
        <f>SUM(L8,L10,L12:L14)</f>
        <v>-1731.8120000000001</v>
      </c>
    </row>
    <row r="8" spans="3:14" s="40" customFormat="1" x14ac:dyDescent="0.25">
      <c r="G8" s="15"/>
      <c r="J8" s="20" t="s">
        <v>180</v>
      </c>
      <c r="K8" s="3">
        <f>(E9+E15+E18+E19+E26+E27)/1000+E30/1000+E16/1000</f>
        <v>-1375.2049999999999</v>
      </c>
      <c r="L8" s="3">
        <f>(G9+G15+G18+G19+G26+G27)/1000+G30/1000+G16/1000</f>
        <v>-1162.3399999999999</v>
      </c>
      <c r="N8" s="3"/>
    </row>
    <row r="9" spans="3:14" s="41" customFormat="1" x14ac:dyDescent="0.25">
      <c r="C9" s="41" t="s">
        <v>205</v>
      </c>
      <c r="E9" s="28">
        <v>-3768</v>
      </c>
      <c r="G9" s="116">
        <v>-44128</v>
      </c>
      <c r="J9" s="20" t="s">
        <v>181</v>
      </c>
    </row>
    <row r="10" spans="3:14" s="41" customFormat="1" x14ac:dyDescent="0.25">
      <c r="E10" s="28"/>
      <c r="G10" s="116"/>
      <c r="J10" s="20" t="s">
        <v>185</v>
      </c>
      <c r="K10" s="115">
        <f>E28/1000</f>
        <v>-211.51300000000001</v>
      </c>
      <c r="L10" s="115">
        <f>G28/1000</f>
        <v>-430.18700000000001</v>
      </c>
      <c r="N10" s="3"/>
    </row>
    <row r="11" spans="3:14" s="41" customFormat="1" x14ac:dyDescent="0.25">
      <c r="C11" s="41" t="s">
        <v>213</v>
      </c>
      <c r="E11" s="28">
        <v>185915</v>
      </c>
      <c r="G11" s="116">
        <v>44183</v>
      </c>
      <c r="J11" s="20" t="s">
        <v>183</v>
      </c>
    </row>
    <row r="12" spans="3:14" s="40" customFormat="1" x14ac:dyDescent="0.25">
      <c r="E12" s="3"/>
      <c r="G12" s="117"/>
      <c r="J12" s="20" t="s">
        <v>64</v>
      </c>
      <c r="K12" s="3">
        <f>E7/1000</f>
        <v>-114.39</v>
      </c>
      <c r="L12" s="3">
        <f>G7/1000</f>
        <v>-242.672</v>
      </c>
      <c r="N12" s="3"/>
    </row>
    <row r="13" spans="3:14" x14ac:dyDescent="0.25">
      <c r="C13" s="41" t="s">
        <v>206</v>
      </c>
      <c r="D13" s="41"/>
      <c r="E13" s="28">
        <v>135554</v>
      </c>
      <c r="F13" s="28"/>
      <c r="G13" s="116">
        <v>104870</v>
      </c>
      <c r="J13" s="20" t="s">
        <v>186</v>
      </c>
      <c r="K13" s="3">
        <f>E29/1000</f>
        <v>-35.576000000000001</v>
      </c>
      <c r="L13" s="3">
        <f>G29/1000</f>
        <v>0</v>
      </c>
      <c r="N13" s="3"/>
    </row>
    <row r="14" spans="3:14" x14ac:dyDescent="0.25">
      <c r="C14" s="114" t="s">
        <v>214</v>
      </c>
      <c r="E14" s="3">
        <v>0</v>
      </c>
      <c r="F14" s="3"/>
      <c r="G14" s="3">
        <v>0</v>
      </c>
      <c r="J14" s="20" t="s">
        <v>12</v>
      </c>
      <c r="K14" s="3">
        <f>(E11+E36+E17)/1000</f>
        <v>131.59100000000001</v>
      </c>
      <c r="L14" s="3">
        <f>(G11+G36+G17)/1000</f>
        <v>103.387</v>
      </c>
      <c r="N14" s="3"/>
    </row>
    <row r="15" spans="3:14" x14ac:dyDescent="0.25">
      <c r="C15" s="114" t="s">
        <v>215</v>
      </c>
      <c r="E15" s="3">
        <v>38589</v>
      </c>
      <c r="F15" s="3"/>
      <c r="G15" s="3">
        <v>26569</v>
      </c>
    </row>
    <row r="16" spans="3:14" x14ac:dyDescent="0.25">
      <c r="C16" s="114" t="s">
        <v>216</v>
      </c>
      <c r="E16" s="3">
        <v>0</v>
      </c>
      <c r="F16" s="3"/>
      <c r="G16" s="3">
        <v>8075</v>
      </c>
      <c r="K16" s="108">
        <f>E38/1000-K7</f>
        <v>0</v>
      </c>
      <c r="L16" s="108">
        <f>G38/1000-L7</f>
        <v>0</v>
      </c>
    </row>
    <row r="17" spans="3:12" s="40" customFormat="1" x14ac:dyDescent="0.25">
      <c r="C17" s="114" t="s">
        <v>217</v>
      </c>
      <c r="E17" s="3">
        <v>95938</v>
      </c>
      <c r="F17" s="3"/>
      <c r="G17" s="3">
        <v>70268</v>
      </c>
      <c r="K17" s="45"/>
      <c r="L17" s="45"/>
    </row>
    <row r="18" spans="3:12" s="40" customFormat="1" x14ac:dyDescent="0.25">
      <c r="C18" s="114" t="s">
        <v>218</v>
      </c>
      <c r="E18" s="3">
        <v>1027</v>
      </c>
      <c r="F18" s="3"/>
      <c r="G18" s="3">
        <v>-42</v>
      </c>
      <c r="K18" s="41">
        <v>2019</v>
      </c>
      <c r="L18" s="41">
        <v>2018</v>
      </c>
    </row>
    <row r="19" spans="3:12" x14ac:dyDescent="0.25">
      <c r="C19" s="41" t="s">
        <v>208</v>
      </c>
      <c r="D19" s="41"/>
      <c r="E19" s="28">
        <v>35073</v>
      </c>
      <c r="F19" s="28"/>
      <c r="G19" s="28">
        <v>0</v>
      </c>
    </row>
    <row r="20" spans="3:12" x14ac:dyDescent="0.25">
      <c r="C20" t="s">
        <v>209</v>
      </c>
      <c r="E20" s="3">
        <v>0</v>
      </c>
      <c r="F20" s="3"/>
      <c r="G20" s="3">
        <v>0</v>
      </c>
      <c r="J20" t="s">
        <v>230</v>
      </c>
      <c r="K20" s="3">
        <v>3064.2060000000001</v>
      </c>
      <c r="L20" s="3">
        <v>2811.1909999999998</v>
      </c>
    </row>
    <row r="21" spans="3:12" x14ac:dyDescent="0.25">
      <c r="C21" t="s">
        <v>210</v>
      </c>
      <c r="E21" s="3">
        <v>0</v>
      </c>
      <c r="F21" s="3"/>
      <c r="G21" s="3">
        <v>0</v>
      </c>
      <c r="J21" t="str">
        <f>C7</f>
        <v>Depozito ve teminatlar değerleme farkları</v>
      </c>
      <c r="K21" s="115">
        <f>E7/1000*-1</f>
        <v>114.39</v>
      </c>
      <c r="L21" s="115">
        <f>G7/1000*-1</f>
        <v>242.672</v>
      </c>
    </row>
    <row r="22" spans="3:12" x14ac:dyDescent="0.25">
      <c r="C22" t="s">
        <v>211</v>
      </c>
      <c r="E22" s="3">
        <v>35073</v>
      </c>
      <c r="F22" s="3"/>
      <c r="G22" s="3">
        <v>0</v>
      </c>
      <c r="J22" t="str">
        <f>C9</f>
        <v>Esas faaliyetlerden kur farkı giderleri</v>
      </c>
      <c r="K22" s="115">
        <f>E9/1000*-1</f>
        <v>3.7679999999999998</v>
      </c>
      <c r="L22" s="115">
        <f>G9/1000*-1</f>
        <v>44.128</v>
      </c>
    </row>
    <row r="23" spans="3:12" s="41" customFormat="1" x14ac:dyDescent="0.25">
      <c r="C23" s="41" t="s">
        <v>212</v>
      </c>
      <c r="E23" s="28">
        <v>0</v>
      </c>
      <c r="F23" s="28"/>
      <c r="G23" s="116">
        <v>0</v>
      </c>
      <c r="J23" s="42" t="str">
        <f>C11</f>
        <v>Gelir tavanı düzenlemesiyle ilgili faiz geliri - net</v>
      </c>
      <c r="K23" s="115">
        <f>E11/1000*-1</f>
        <v>-185.91499999999999</v>
      </c>
      <c r="L23" s="115">
        <f>G11/1000*-1</f>
        <v>-44.183</v>
      </c>
    </row>
    <row r="24" spans="3:12" x14ac:dyDescent="0.25">
      <c r="G24" s="15"/>
      <c r="J24" t="s">
        <v>231</v>
      </c>
      <c r="K24" s="3">
        <v>372.86700000000002</v>
      </c>
      <c r="L24" s="3">
        <v>258.18200000000002</v>
      </c>
    </row>
    <row r="25" spans="3:12" x14ac:dyDescent="0.25">
      <c r="C25" s="41" t="s">
        <v>219</v>
      </c>
      <c r="D25" s="41"/>
      <c r="E25" s="28">
        <v>-1693215</v>
      </c>
      <c r="F25" s="41"/>
      <c r="G25" s="116">
        <v>-1522209</v>
      </c>
      <c r="J25" s="41" t="s">
        <v>2</v>
      </c>
      <c r="K25" s="28">
        <f>SUM(K20:K24)</f>
        <v>3369.3160000000003</v>
      </c>
      <c r="L25" s="28">
        <f>SUM(L20:L24)</f>
        <v>3311.99</v>
      </c>
    </row>
    <row r="26" spans="3:12" x14ac:dyDescent="0.25">
      <c r="C26" t="s">
        <v>207</v>
      </c>
      <c r="E26" s="3">
        <v>-44</v>
      </c>
      <c r="G26" s="117">
        <v>-1432</v>
      </c>
    </row>
    <row r="27" spans="3:12" x14ac:dyDescent="0.25">
      <c r="C27" t="s">
        <v>220</v>
      </c>
      <c r="E27" s="3">
        <v>-1446082</v>
      </c>
      <c r="G27" s="117">
        <v>-1090590</v>
      </c>
    </row>
    <row r="28" spans="3:12" x14ac:dyDescent="0.25">
      <c r="C28" t="s">
        <v>221</v>
      </c>
      <c r="E28" s="3">
        <v>-211513</v>
      </c>
      <c r="G28" s="117">
        <v>-430187</v>
      </c>
    </row>
    <row r="29" spans="3:12" x14ac:dyDescent="0.25">
      <c r="C29" t="s">
        <v>222</v>
      </c>
      <c r="E29" s="3">
        <v>-35576</v>
      </c>
      <c r="G29" s="117">
        <v>0</v>
      </c>
    </row>
    <row r="30" spans="3:12" x14ac:dyDescent="0.25">
      <c r="C30" s="41" t="s">
        <v>208</v>
      </c>
      <c r="D30" s="41"/>
      <c r="E30" s="28">
        <v>0</v>
      </c>
      <c r="F30" s="41"/>
      <c r="G30" s="116">
        <v>-60792</v>
      </c>
    </row>
    <row r="31" spans="3:12" x14ac:dyDescent="0.25">
      <c r="C31" t="s">
        <v>223</v>
      </c>
      <c r="E31" s="3"/>
      <c r="G31" s="117">
        <v>140714</v>
      </c>
    </row>
    <row r="32" spans="3:12" x14ac:dyDescent="0.25">
      <c r="C32" t="s">
        <v>224</v>
      </c>
      <c r="E32" s="3"/>
      <c r="G32" s="117">
        <v>0</v>
      </c>
    </row>
    <row r="33" spans="3:7" x14ac:dyDescent="0.25">
      <c r="C33" t="s">
        <v>225</v>
      </c>
      <c r="E33" s="3"/>
      <c r="G33" s="117">
        <v>0</v>
      </c>
    </row>
    <row r="34" spans="3:7" x14ac:dyDescent="0.25">
      <c r="C34" t="s">
        <v>226</v>
      </c>
      <c r="E34" s="3"/>
      <c r="G34" s="117">
        <v>-201506</v>
      </c>
    </row>
    <row r="35" spans="3:7" x14ac:dyDescent="0.25">
      <c r="C35" t="s">
        <v>227</v>
      </c>
      <c r="E35" s="3"/>
      <c r="G35" s="117">
        <v>0</v>
      </c>
    </row>
    <row r="36" spans="3:7" s="41" customFormat="1" x14ac:dyDescent="0.25">
      <c r="C36" s="41" t="s">
        <v>228</v>
      </c>
      <c r="E36" s="28">
        <v>-150262</v>
      </c>
      <c r="G36" s="116">
        <v>-11064</v>
      </c>
    </row>
    <row r="37" spans="3:7" x14ac:dyDescent="0.25">
      <c r="G37" s="15"/>
    </row>
    <row r="38" spans="3:7" x14ac:dyDescent="0.25">
      <c r="E38" s="28">
        <f>SUM(E7:E11,E13,E19,E23,E25,E30,E36)</f>
        <v>-1605093</v>
      </c>
      <c r="F38" s="41"/>
      <c r="G38" s="116">
        <f>SUM(G7:G11,G13,G19,G23,G25,G30,G36)</f>
        <v>-1731812</v>
      </c>
    </row>
    <row r="39" spans="3:7" x14ac:dyDescent="0.25">
      <c r="G39" s="15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5"/>
  <sheetViews>
    <sheetView showGridLines="0" workbookViewId="0">
      <selection activeCell="E18" sqref="E18"/>
    </sheetView>
  </sheetViews>
  <sheetFormatPr defaultRowHeight="15" x14ac:dyDescent="0.25"/>
  <cols>
    <col min="2" max="2" width="34.42578125" customWidth="1"/>
    <col min="7" max="7" width="10.85546875" style="40" customWidth="1"/>
    <col min="8" max="10" width="11.140625" style="40" customWidth="1"/>
  </cols>
  <sheetData>
    <row r="3" spans="2:18" x14ac:dyDescent="0.25">
      <c r="B3" s="42"/>
      <c r="C3" s="46" t="s">
        <v>77</v>
      </c>
      <c r="D3" s="46" t="s">
        <v>77</v>
      </c>
      <c r="E3" s="46" t="s">
        <v>77</v>
      </c>
      <c r="F3" s="46" t="s">
        <v>77</v>
      </c>
      <c r="G3" s="46" t="s">
        <v>77</v>
      </c>
      <c r="H3" s="46" t="s">
        <v>77</v>
      </c>
      <c r="I3" s="46" t="s">
        <v>77</v>
      </c>
      <c r="J3" s="46" t="s">
        <v>77</v>
      </c>
    </row>
    <row r="4" spans="2:18" x14ac:dyDescent="0.25">
      <c r="B4" s="47"/>
      <c r="C4" s="46" t="s">
        <v>89</v>
      </c>
      <c r="D4" s="46" t="s">
        <v>89</v>
      </c>
      <c r="E4" s="46" t="s">
        <v>160</v>
      </c>
      <c r="F4" s="46" t="s">
        <v>160</v>
      </c>
      <c r="G4" s="46" t="s">
        <v>177</v>
      </c>
      <c r="H4" s="46" t="s">
        <v>177</v>
      </c>
      <c r="I4" s="46" t="s">
        <v>78</v>
      </c>
      <c r="J4" s="46" t="s">
        <v>78</v>
      </c>
    </row>
    <row r="5" spans="2:18" ht="15.75" thickBot="1" x14ac:dyDescent="0.3">
      <c r="B5" s="48" t="s">
        <v>79</v>
      </c>
      <c r="C5" s="49">
        <v>2018</v>
      </c>
      <c r="D5" s="49">
        <v>2019</v>
      </c>
      <c r="E5" s="49">
        <v>2018</v>
      </c>
      <c r="F5" s="49">
        <v>2019</v>
      </c>
      <c r="G5" s="49">
        <v>2018</v>
      </c>
      <c r="H5" s="49">
        <v>2019</v>
      </c>
      <c r="I5" s="49">
        <v>2018</v>
      </c>
      <c r="J5" s="49">
        <v>2019</v>
      </c>
    </row>
    <row r="6" spans="2:18" x14ac:dyDescent="0.25">
      <c r="B6" s="40"/>
      <c r="C6" s="40"/>
      <c r="D6" s="40"/>
    </row>
    <row r="7" spans="2:18" ht="24" x14ac:dyDescent="0.25">
      <c r="B7" s="50" t="s">
        <v>80</v>
      </c>
      <c r="C7" s="51">
        <v>595.51800000000003</v>
      </c>
      <c r="D7" s="51"/>
      <c r="E7" s="51">
        <v>1275</v>
      </c>
      <c r="F7" s="51"/>
      <c r="G7" s="51">
        <v>2069.5010000000002</v>
      </c>
      <c r="H7" s="51"/>
      <c r="I7" s="51">
        <v>2811</v>
      </c>
      <c r="J7" s="51"/>
      <c r="O7" s="3"/>
      <c r="P7" s="3"/>
      <c r="Q7" s="3"/>
      <c r="R7" s="3"/>
    </row>
    <row r="8" spans="2:18" ht="24" x14ac:dyDescent="0.25">
      <c r="B8" s="52" t="s">
        <v>81</v>
      </c>
      <c r="C8" s="53">
        <v>61.433999999999997</v>
      </c>
      <c r="D8" s="53"/>
      <c r="E8" s="53">
        <v>124</v>
      </c>
      <c r="F8" s="53"/>
      <c r="G8" s="53">
        <v>186.17400000000001</v>
      </c>
      <c r="H8" s="53"/>
      <c r="I8" s="53">
        <v>258</v>
      </c>
      <c r="J8" s="53"/>
      <c r="O8" s="3"/>
      <c r="P8" s="3"/>
      <c r="Q8" s="3"/>
      <c r="R8" s="3"/>
    </row>
    <row r="9" spans="2:18" x14ac:dyDescent="0.25">
      <c r="B9" s="52" t="s">
        <v>179</v>
      </c>
      <c r="C9" s="53">
        <v>0</v>
      </c>
      <c r="D9" s="53"/>
      <c r="E9" s="53">
        <v>0</v>
      </c>
      <c r="F9" s="53"/>
      <c r="G9" s="53">
        <v>0</v>
      </c>
      <c r="H9" s="53"/>
      <c r="I9" s="53">
        <v>753</v>
      </c>
      <c r="J9" s="53"/>
      <c r="O9" s="3"/>
      <c r="P9" s="3"/>
      <c r="Q9" s="3"/>
      <c r="R9" s="3"/>
    </row>
    <row r="10" spans="2:18" ht="24" x14ac:dyDescent="0.25">
      <c r="B10" s="52" t="s">
        <v>83</v>
      </c>
      <c r="C10" s="53">
        <v>26.378</v>
      </c>
      <c r="D10" s="53"/>
      <c r="E10" s="53">
        <v>62</v>
      </c>
      <c r="F10" s="53"/>
      <c r="G10" s="53">
        <v>112.142</v>
      </c>
      <c r="H10" s="53"/>
      <c r="I10" s="53">
        <v>243</v>
      </c>
      <c r="J10" s="53"/>
      <c r="O10" s="3"/>
      <c r="P10" s="3"/>
      <c r="Q10" s="3"/>
      <c r="R10" s="3"/>
    </row>
    <row r="11" spans="2:18" s="40" customFormat="1" ht="24" x14ac:dyDescent="0.25">
      <c r="B11" s="52" t="s">
        <v>161</v>
      </c>
      <c r="C11" s="53">
        <v>0</v>
      </c>
      <c r="D11" s="53"/>
      <c r="E11" s="53">
        <v>16</v>
      </c>
      <c r="F11" s="53"/>
      <c r="G11" s="53"/>
      <c r="H11" s="53"/>
      <c r="I11" s="53">
        <v>44</v>
      </c>
      <c r="J11" s="53"/>
      <c r="M11" s="3"/>
      <c r="N11" s="3"/>
      <c r="O11" s="3"/>
      <c r="P11" s="3"/>
      <c r="Q11" s="3"/>
      <c r="R11" s="3"/>
    </row>
    <row r="12" spans="2:18" ht="24" x14ac:dyDescent="0.25">
      <c r="B12" s="52" t="s">
        <v>84</v>
      </c>
      <c r="C12" s="53">
        <v>-7.8250000000000002</v>
      </c>
      <c r="D12" s="53"/>
      <c r="E12" s="53">
        <v>-16</v>
      </c>
      <c r="F12" s="53"/>
      <c r="G12" s="53">
        <v>-23.475000000000001</v>
      </c>
      <c r="H12" s="53"/>
      <c r="I12" s="53">
        <v>-44</v>
      </c>
      <c r="J12" s="53"/>
      <c r="M12" s="3"/>
      <c r="N12" s="3"/>
      <c r="O12" s="3"/>
      <c r="P12" s="3"/>
      <c r="Q12" s="3"/>
      <c r="R12" s="3"/>
    </row>
    <row r="13" spans="2:18" x14ac:dyDescent="0.25">
      <c r="B13" s="54" t="s">
        <v>2</v>
      </c>
      <c r="C13" s="55">
        <v>675.505</v>
      </c>
      <c r="D13" s="55">
        <f t="shared" ref="D13" si="0">SUM(D7:D12)</f>
        <v>0</v>
      </c>
      <c r="E13" s="55">
        <v>1461</v>
      </c>
      <c r="F13" s="55">
        <f t="shared" ref="F13:H13" si="1">SUM(F7:F12)</f>
        <v>0</v>
      </c>
      <c r="G13" s="55">
        <v>2344.3420000000001</v>
      </c>
      <c r="H13" s="55">
        <f t="shared" si="1"/>
        <v>0</v>
      </c>
      <c r="I13" s="55">
        <v>4065</v>
      </c>
      <c r="J13" s="55">
        <f t="shared" ref="J13" si="2">SUM(J7:J12)</f>
        <v>0</v>
      </c>
      <c r="K13" s="27"/>
      <c r="M13" s="3"/>
      <c r="N13" s="3"/>
      <c r="O13" s="3"/>
      <c r="P13" s="3"/>
      <c r="Q13" s="3"/>
      <c r="R13" s="3"/>
    </row>
    <row r="14" spans="2:18" x14ac:dyDescent="0.25">
      <c r="B14" s="52" t="s">
        <v>25</v>
      </c>
      <c r="C14" s="53">
        <v>191.33500000000001</v>
      </c>
      <c r="D14" s="53"/>
      <c r="E14" s="53">
        <v>399</v>
      </c>
      <c r="F14" s="53"/>
      <c r="G14" s="53">
        <v>598.72799999999995</v>
      </c>
      <c r="H14" s="53"/>
      <c r="I14" s="53">
        <v>798</v>
      </c>
      <c r="J14" s="53"/>
      <c r="K14" s="27"/>
      <c r="M14" s="28"/>
      <c r="N14" s="28"/>
      <c r="O14" s="3"/>
      <c r="P14" s="3"/>
      <c r="Q14" s="3"/>
      <c r="R14" s="3"/>
    </row>
    <row r="15" spans="2:18" x14ac:dyDescent="0.25">
      <c r="B15" s="54" t="s">
        <v>85</v>
      </c>
      <c r="C15" s="55">
        <v>866.84</v>
      </c>
      <c r="D15" s="55">
        <f>SUM(D13:D14)</f>
        <v>0</v>
      </c>
      <c r="E15" s="55">
        <v>1860</v>
      </c>
      <c r="F15" s="55">
        <f>SUM(F13:F14)</f>
        <v>0</v>
      </c>
      <c r="G15" s="55">
        <v>2943.07</v>
      </c>
      <c r="H15" s="55">
        <f>SUM(H13:H14)</f>
        <v>0</v>
      </c>
      <c r="I15" s="55">
        <v>4863</v>
      </c>
      <c r="J15" s="55">
        <f>SUM(J13:J14)</f>
        <v>0</v>
      </c>
      <c r="K15" s="27"/>
      <c r="O15" s="3"/>
      <c r="P15" s="3"/>
      <c r="Q15" s="3"/>
      <c r="R15" s="3"/>
    </row>
    <row r="16" spans="2:18" x14ac:dyDescent="0.25">
      <c r="B16" s="52" t="s">
        <v>86</v>
      </c>
      <c r="C16" s="53">
        <v>0</v>
      </c>
      <c r="D16" s="53"/>
      <c r="E16" s="53">
        <v>-244</v>
      </c>
      <c r="F16" s="53"/>
      <c r="G16" s="53">
        <v>-242</v>
      </c>
      <c r="H16" s="53"/>
      <c r="I16" s="53">
        <v>-984</v>
      </c>
      <c r="J16" s="53"/>
      <c r="K16" s="45"/>
      <c r="O16" s="3"/>
      <c r="P16" s="3"/>
      <c r="Q16" s="3"/>
      <c r="R16" s="3"/>
    </row>
    <row r="17" spans="2:18" s="40" customFormat="1" x14ac:dyDescent="0.25">
      <c r="B17" s="52" t="s">
        <v>176</v>
      </c>
      <c r="C17" s="53">
        <v>0</v>
      </c>
      <c r="D17" s="53"/>
      <c r="E17" s="53">
        <v>107</v>
      </c>
      <c r="F17" s="53"/>
      <c r="G17" s="53">
        <v>107</v>
      </c>
      <c r="H17" s="53"/>
      <c r="I17" s="53">
        <v>107</v>
      </c>
      <c r="J17" s="53"/>
      <c r="K17" s="45"/>
      <c r="O17" s="3"/>
      <c r="P17" s="3"/>
      <c r="Q17" s="3"/>
      <c r="R17" s="3"/>
    </row>
    <row r="18" spans="2:18" ht="16.7" customHeight="1" x14ac:dyDescent="0.25">
      <c r="B18" s="52" t="s">
        <v>87</v>
      </c>
      <c r="C18" s="53">
        <v>0</v>
      </c>
      <c r="D18" s="53"/>
      <c r="E18" s="53">
        <v>0</v>
      </c>
      <c r="F18" s="53"/>
      <c r="G18" s="53">
        <v>-74</v>
      </c>
      <c r="H18" s="53"/>
      <c r="I18" s="53">
        <v>-142</v>
      </c>
      <c r="J18" s="53"/>
      <c r="K18" s="45"/>
      <c r="O18" s="3"/>
      <c r="P18" s="3"/>
      <c r="Q18" s="3"/>
      <c r="R18" s="3"/>
    </row>
    <row r="19" spans="2:18" x14ac:dyDescent="0.25">
      <c r="B19" s="54" t="s">
        <v>88</v>
      </c>
      <c r="C19" s="55">
        <v>866.84</v>
      </c>
      <c r="D19" s="55">
        <f>SUM(D15:D18)</f>
        <v>0</v>
      </c>
      <c r="E19" s="55">
        <v>1723</v>
      </c>
      <c r="F19" s="55">
        <f>SUM(F15:F18)</f>
        <v>0</v>
      </c>
      <c r="G19" s="55">
        <v>2734.07</v>
      </c>
      <c r="H19" s="55">
        <f>SUM(H15:H18)</f>
        <v>0</v>
      </c>
      <c r="I19" s="55">
        <v>3844</v>
      </c>
      <c r="J19" s="55">
        <f>SUM(J15:J18)</f>
        <v>0</v>
      </c>
      <c r="K19" s="27"/>
      <c r="L19" s="27"/>
      <c r="O19" s="3"/>
      <c r="P19" s="3"/>
      <c r="Q19" s="3"/>
      <c r="R19" s="3"/>
    </row>
    <row r="20" spans="2:18" x14ac:dyDescent="0.25">
      <c r="B20" s="40"/>
      <c r="C20" s="40"/>
      <c r="D20" s="40"/>
      <c r="E20" s="40"/>
      <c r="F20" s="40"/>
      <c r="K20" s="45"/>
      <c r="O20" s="3"/>
      <c r="P20" s="3"/>
      <c r="Q20" s="3"/>
      <c r="R20" s="3"/>
    </row>
    <row r="21" spans="2:18" x14ac:dyDescent="0.25">
      <c r="B21" s="54" t="s">
        <v>26</v>
      </c>
      <c r="C21" s="55">
        <v>242.86199999999999</v>
      </c>
      <c r="D21" s="55"/>
      <c r="E21" s="55">
        <v>499</v>
      </c>
      <c r="F21" s="55"/>
      <c r="G21" s="55">
        <v>764.35699999999997</v>
      </c>
      <c r="H21" s="55"/>
      <c r="I21" s="55">
        <v>748</v>
      </c>
      <c r="J21" s="55"/>
      <c r="K21" s="27"/>
      <c r="O21" s="3"/>
      <c r="P21" s="3"/>
      <c r="Q21" s="3"/>
      <c r="R21" s="3"/>
    </row>
    <row r="22" spans="2:18" x14ac:dyDescent="0.25">
      <c r="B22" s="56" t="s">
        <v>86</v>
      </c>
      <c r="C22" s="53">
        <v>0</v>
      </c>
      <c r="D22" s="53"/>
      <c r="E22" s="53">
        <v>-195</v>
      </c>
      <c r="F22" s="53"/>
      <c r="G22" s="53">
        <v>-189</v>
      </c>
      <c r="H22" s="53"/>
      <c r="I22" s="53">
        <v>-768</v>
      </c>
      <c r="J22" s="53"/>
      <c r="K22" s="45"/>
      <c r="O22" s="3"/>
      <c r="P22" s="3"/>
      <c r="Q22" s="3"/>
      <c r="R22" s="3"/>
    </row>
    <row r="23" spans="2:18" s="40" customFormat="1" x14ac:dyDescent="0.25">
      <c r="B23" s="52" t="s">
        <v>176</v>
      </c>
      <c r="C23" s="53">
        <v>0</v>
      </c>
      <c r="D23" s="53"/>
      <c r="E23" s="53">
        <v>107</v>
      </c>
      <c r="F23" s="53"/>
      <c r="G23" s="53">
        <v>107</v>
      </c>
      <c r="H23" s="53"/>
      <c r="I23" s="53">
        <v>107</v>
      </c>
      <c r="J23" s="53"/>
      <c r="K23" s="45"/>
      <c r="O23" s="3"/>
      <c r="P23" s="3"/>
      <c r="Q23" s="3"/>
      <c r="R23" s="3"/>
    </row>
    <row r="24" spans="2:18" s="40" customFormat="1" x14ac:dyDescent="0.25">
      <c r="B24" s="52" t="s">
        <v>179</v>
      </c>
      <c r="C24" s="53"/>
      <c r="D24" s="53"/>
      <c r="E24" s="53"/>
      <c r="F24" s="53"/>
      <c r="G24" s="53"/>
      <c r="H24" s="53"/>
      <c r="I24" s="53">
        <v>753</v>
      </c>
      <c r="J24" s="53"/>
      <c r="K24" s="45"/>
      <c r="O24" s="3"/>
      <c r="P24" s="3"/>
      <c r="Q24" s="3"/>
      <c r="R24" s="3"/>
    </row>
    <row r="25" spans="2:18" ht="16.7" customHeight="1" x14ac:dyDescent="0.25">
      <c r="B25" s="56" t="s">
        <v>87</v>
      </c>
      <c r="C25" s="53">
        <v>0</v>
      </c>
      <c r="D25" s="53"/>
      <c r="E25" s="53">
        <v>0</v>
      </c>
      <c r="F25" s="53"/>
      <c r="G25" s="53">
        <v>-58</v>
      </c>
      <c r="H25" s="53"/>
      <c r="I25" s="53">
        <v>-110</v>
      </c>
      <c r="J25" s="53"/>
      <c r="K25" s="45"/>
      <c r="O25" s="3"/>
      <c r="P25" s="3"/>
      <c r="Q25" s="3"/>
      <c r="R25" s="3"/>
    </row>
    <row r="26" spans="2:18" x14ac:dyDescent="0.25">
      <c r="B26" s="54" t="s">
        <v>39</v>
      </c>
      <c r="C26" s="55">
        <v>242.86199999999999</v>
      </c>
      <c r="D26" s="55">
        <f>SUM(D21:D25)</f>
        <v>0</v>
      </c>
      <c r="E26" s="55">
        <v>411</v>
      </c>
      <c r="F26" s="55">
        <f>SUM(F21:F25)</f>
        <v>0</v>
      </c>
      <c r="G26" s="55">
        <v>624.35699999999997</v>
      </c>
      <c r="H26" s="55">
        <f>SUM(H21:H25)</f>
        <v>0</v>
      </c>
      <c r="I26" s="55">
        <v>730</v>
      </c>
      <c r="J26" s="55">
        <f>SUM(J21:J25)</f>
        <v>0</v>
      </c>
      <c r="K26" s="27"/>
      <c r="L26" s="27"/>
      <c r="M26" s="3"/>
      <c r="N26" s="3"/>
      <c r="O26" s="3"/>
      <c r="P26" s="3"/>
      <c r="Q26" s="3"/>
      <c r="R26" s="3"/>
    </row>
    <row r="27" spans="2:18" x14ac:dyDescent="0.25">
      <c r="O27" s="3"/>
      <c r="P27" s="3"/>
    </row>
    <row r="28" spans="2:18" x14ac:dyDescent="0.25">
      <c r="O28" s="3"/>
      <c r="P28" s="3"/>
    </row>
    <row r="29" spans="2:18" x14ac:dyDescent="0.25">
      <c r="O29" s="3"/>
      <c r="P29" s="3"/>
    </row>
    <row r="30" spans="2:18" x14ac:dyDescent="0.25">
      <c r="O30" s="3"/>
      <c r="P30" s="3"/>
    </row>
    <row r="31" spans="2:18" x14ac:dyDescent="0.25">
      <c r="O31" s="3"/>
      <c r="P31" s="3"/>
    </row>
    <row r="32" spans="2:18" x14ac:dyDescent="0.25">
      <c r="O32" s="3"/>
      <c r="P32" s="3"/>
    </row>
    <row r="33" spans="15:16" x14ac:dyDescent="0.25">
      <c r="O33" s="3"/>
      <c r="P33" s="3"/>
    </row>
    <row r="34" spans="15:16" x14ac:dyDescent="0.25">
      <c r="O34" s="3"/>
      <c r="P34" s="3"/>
    </row>
    <row r="35" spans="15:16" x14ac:dyDescent="0.25">
      <c r="O35" s="3"/>
      <c r="P35" s="3"/>
    </row>
  </sheetData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10</vt:i4>
      </vt:variant>
    </vt:vector>
  </HeadingPairs>
  <TitlesOfParts>
    <vt:vector size="10" baseType="lpstr">
      <vt:lpstr>Group PLs</vt:lpstr>
      <vt:lpstr>Group CFs</vt:lpstr>
      <vt:lpstr>Group BS</vt:lpstr>
      <vt:lpstr>FactSheet_Cons</vt:lpstr>
      <vt:lpstr>FactSheet _Retail</vt:lpstr>
      <vt:lpstr>FactSheet_Disco</vt:lpstr>
      <vt:lpstr>Check</vt:lpstr>
      <vt:lpstr>Finex</vt:lpstr>
      <vt:lpstr>PL</vt:lpstr>
      <vt:lpstr>KPIs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keywords>Hizmete Özel</cp:keywords>
  <cp:lastModifiedBy>Burak SIMSEK</cp:lastModifiedBy>
  <cp:lastPrinted>2020-02-26T10:50:12Z</cp:lastPrinted>
  <dcterms:created xsi:type="dcterms:W3CDTF">2017-09-20T15:45:50Z</dcterms:created>
  <dcterms:modified xsi:type="dcterms:W3CDTF">2020-02-26T10:50:34Z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TitusGUID">
    <vt:lpwstr>c5b1559e-ba81-4b8c-8498-6ea5d2e74208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CLASSIFICATION">
    <vt:lpwstr>I4886p293727nO8</vt:lpwstr>
  </property>
</Properties>
</file>