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NERJISA\CFO\Investor Relations\4. Presentations\8. Earnings Presentation\2022\2Nov\Fact Sheet\"/>
    </mc:Choice>
  </mc:AlternateContent>
  <bookViews>
    <workbookView xWindow="0" yWindow="0" windowWidth="19200" windowHeight="7050"/>
  </bookViews>
  <sheets>
    <sheet name="Konsolide" sheetId="1" r:id="rId1"/>
    <sheet name="Perakende &amp; Müşteri Çözümleri" sheetId="2" r:id="rId2"/>
    <sheet name="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  <definedName name="_xlnm.Print_Area" localSheetId="1">'Perakende &amp; Müşteri Çözümleri'!$A$1:$T$57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3" l="1"/>
  <c r="K26" i="3"/>
  <c r="S22" i="2"/>
  <c r="O37" i="2"/>
  <c r="O22" i="2"/>
  <c r="S57" i="1" l="1"/>
  <c r="S56" i="1"/>
  <c r="S54" i="1"/>
  <c r="S53" i="1"/>
  <c r="S22" i="1" l="1"/>
  <c r="S44" i="1"/>
  <c r="S48" i="1"/>
  <c r="S45" i="1"/>
  <c r="S38" i="1"/>
  <c r="S37" i="1"/>
  <c r="S36" i="1"/>
  <c r="S35" i="1"/>
  <c r="S34" i="1"/>
  <c r="S33" i="1"/>
  <c r="S32" i="1"/>
  <c r="S31" i="1"/>
  <c r="S30" i="1"/>
  <c r="S26" i="1"/>
  <c r="S17" i="1"/>
  <c r="S15" i="1"/>
  <c r="S14" i="1"/>
  <c r="S13" i="1"/>
  <c r="S10" i="1"/>
  <c r="S8" i="1"/>
  <c r="S7" i="1"/>
  <c r="S5" i="1"/>
  <c r="O44" i="1"/>
  <c r="O43" i="1"/>
  <c r="O45" i="1"/>
  <c r="O38" i="1"/>
  <c r="O37" i="1"/>
  <c r="O36" i="1"/>
  <c r="O35" i="1"/>
  <c r="O34" i="1"/>
  <c r="O33" i="1"/>
  <c r="O32" i="1"/>
  <c r="O31" i="1"/>
  <c r="O30" i="1"/>
  <c r="O60" i="3" l="1"/>
  <c r="O59" i="3"/>
  <c r="O57" i="3"/>
  <c r="K57" i="3"/>
  <c r="O54" i="3"/>
  <c r="H53" i="3"/>
  <c r="G53" i="3"/>
  <c r="E53" i="3"/>
  <c r="D53" i="3"/>
  <c r="C53" i="3"/>
  <c r="O52" i="3"/>
  <c r="N53" i="3"/>
  <c r="O53" i="3" s="1"/>
  <c r="O49" i="3"/>
  <c r="J48" i="3"/>
  <c r="H48" i="3"/>
  <c r="G48" i="3"/>
  <c r="E48" i="3"/>
  <c r="D48" i="3"/>
  <c r="C48" i="3"/>
  <c r="K47" i="3"/>
  <c r="N48" i="3"/>
  <c r="K46" i="3"/>
  <c r="I48" i="3"/>
  <c r="O44" i="3"/>
  <c r="K44" i="3"/>
  <c r="M43" i="3"/>
  <c r="J43" i="3"/>
  <c r="H43" i="3"/>
  <c r="G43" i="3"/>
  <c r="E43" i="3"/>
  <c r="D43" i="3"/>
  <c r="C43" i="3"/>
  <c r="O42" i="3"/>
  <c r="K42" i="3"/>
  <c r="K41" i="3"/>
  <c r="I43" i="3"/>
  <c r="O39" i="3"/>
  <c r="H39" i="3"/>
  <c r="G39" i="3"/>
  <c r="F39" i="3"/>
  <c r="E39" i="3"/>
  <c r="D39" i="3"/>
  <c r="C39" i="3"/>
  <c r="O38" i="3"/>
  <c r="O37" i="3"/>
  <c r="O36" i="3"/>
  <c r="O32" i="3"/>
  <c r="K32" i="3"/>
  <c r="K31" i="3"/>
  <c r="O30" i="3"/>
  <c r="I30" i="3"/>
  <c r="O29" i="3"/>
  <c r="M33" i="3"/>
  <c r="I28" i="3"/>
  <c r="H28" i="3"/>
  <c r="G28" i="3"/>
  <c r="F28" i="3"/>
  <c r="E28" i="3"/>
  <c r="D28" i="3"/>
  <c r="N26" i="3"/>
  <c r="M26" i="3"/>
  <c r="S22" i="3"/>
  <c r="K22" i="3"/>
  <c r="S21" i="3"/>
  <c r="O21" i="3"/>
  <c r="K21" i="3"/>
  <c r="S20" i="3"/>
  <c r="O20" i="3"/>
  <c r="K20" i="3"/>
  <c r="S19" i="3"/>
  <c r="Q23" i="3"/>
  <c r="O19" i="3"/>
  <c r="M23" i="3"/>
  <c r="I23" i="3"/>
  <c r="S17" i="3"/>
  <c r="O17" i="3"/>
  <c r="K17" i="3"/>
  <c r="S16" i="3"/>
  <c r="O16" i="3"/>
  <c r="K16" i="3"/>
  <c r="S15" i="3"/>
  <c r="O15" i="3"/>
  <c r="S13" i="3"/>
  <c r="O13" i="3"/>
  <c r="K13" i="3"/>
  <c r="S12" i="3"/>
  <c r="O12" i="3"/>
  <c r="K12" i="3"/>
  <c r="S11" i="3"/>
  <c r="O11" i="3"/>
  <c r="S10" i="3"/>
  <c r="N56" i="3"/>
  <c r="O56" i="3" s="1"/>
  <c r="K10" i="3"/>
  <c r="S9" i="3"/>
  <c r="K9" i="3"/>
  <c r="R6" i="3"/>
  <c r="S8" i="3"/>
  <c r="O8" i="3"/>
  <c r="K8" i="3"/>
  <c r="S7" i="3"/>
  <c r="Q6" i="3"/>
  <c r="O7" i="3"/>
  <c r="J6" i="3"/>
  <c r="S5" i="3"/>
  <c r="K5" i="3"/>
  <c r="R14" i="3"/>
  <c r="O4" i="3"/>
  <c r="M14" i="3"/>
  <c r="M18" i="3" s="1"/>
  <c r="J14" i="3"/>
  <c r="O57" i="2"/>
  <c r="K57" i="2"/>
  <c r="O56" i="2"/>
  <c r="K56" i="2"/>
  <c r="O54" i="2"/>
  <c r="K54" i="2"/>
  <c r="O53" i="2"/>
  <c r="K53" i="2"/>
  <c r="O51" i="2"/>
  <c r="O50" i="2"/>
  <c r="O48" i="2"/>
  <c r="O47" i="2"/>
  <c r="K47" i="2"/>
  <c r="O46" i="2"/>
  <c r="K46" i="2"/>
  <c r="O45" i="2"/>
  <c r="K45" i="2"/>
  <c r="O44" i="2"/>
  <c r="K44" i="2"/>
  <c r="O43" i="2"/>
  <c r="O42" i="2"/>
  <c r="M41" i="2"/>
  <c r="J41" i="2"/>
  <c r="O40" i="2"/>
  <c r="N37" i="2"/>
  <c r="M37" i="2"/>
  <c r="G34" i="2"/>
  <c r="S33" i="2"/>
  <c r="O33" i="2"/>
  <c r="H34" i="2"/>
  <c r="J34" i="2"/>
  <c r="S31" i="2"/>
  <c r="O31" i="2"/>
  <c r="S29" i="2"/>
  <c r="O29" i="2"/>
  <c r="S28" i="2"/>
  <c r="O28" i="2"/>
  <c r="K28" i="2"/>
  <c r="H12" i="2"/>
  <c r="S27" i="2"/>
  <c r="O27" i="2"/>
  <c r="K27" i="2"/>
  <c r="Q26" i="2"/>
  <c r="Q30" i="2" s="1"/>
  <c r="Q32" i="2" s="1"/>
  <c r="Q34" i="2" s="1"/>
  <c r="M26" i="2"/>
  <c r="M30" i="2" s="1"/>
  <c r="G26" i="2"/>
  <c r="S25" i="2"/>
  <c r="O25" i="2"/>
  <c r="K25" i="2"/>
  <c r="S24" i="2"/>
  <c r="R26" i="2"/>
  <c r="O24" i="2"/>
  <c r="I26" i="2"/>
  <c r="I30" i="2" s="1"/>
  <c r="R22" i="2"/>
  <c r="Q22" i="2"/>
  <c r="N22" i="2"/>
  <c r="M22" i="2"/>
  <c r="S18" i="2"/>
  <c r="O18" i="2"/>
  <c r="H18" i="2"/>
  <c r="G18" i="2"/>
  <c r="O16" i="2"/>
  <c r="S15" i="2"/>
  <c r="O15" i="2"/>
  <c r="K15" i="2"/>
  <c r="S14" i="2"/>
  <c r="O14" i="2"/>
  <c r="O12" i="2"/>
  <c r="S11" i="2"/>
  <c r="O11" i="2"/>
  <c r="K11" i="2"/>
  <c r="S10" i="2"/>
  <c r="O10" i="2"/>
  <c r="Q8" i="2"/>
  <c r="H9" i="2"/>
  <c r="H8" i="2" s="1"/>
  <c r="R8" i="2"/>
  <c r="J8" i="2"/>
  <c r="F8" i="2"/>
  <c r="F13" i="2" s="1"/>
  <c r="F17" i="2" s="1"/>
  <c r="F19" i="2" s="1"/>
  <c r="E8" i="2"/>
  <c r="E13" i="2" s="1"/>
  <c r="E17" i="2" s="1"/>
  <c r="E19" i="2" s="1"/>
  <c r="D8" i="2"/>
  <c r="C8" i="2"/>
  <c r="C13" i="2" s="1"/>
  <c r="S7" i="2"/>
  <c r="H7" i="2"/>
  <c r="G7" i="2"/>
  <c r="S5" i="2"/>
  <c r="O5" i="2"/>
  <c r="S4" i="2"/>
  <c r="K4" i="2"/>
  <c r="R3" i="2"/>
  <c r="Q3" i="2"/>
  <c r="Q3" i="3" s="1"/>
  <c r="N3" i="2"/>
  <c r="N38" i="2" s="1"/>
  <c r="M3" i="2"/>
  <c r="K3" i="2"/>
  <c r="K38" i="2" s="1"/>
  <c r="K37" i="2"/>
  <c r="R67" i="1"/>
  <c r="Q67" i="1"/>
  <c r="O67" i="1"/>
  <c r="K67" i="1"/>
  <c r="S64" i="1"/>
  <c r="S63" i="1"/>
  <c r="O63" i="1"/>
  <c r="O62" i="1"/>
  <c r="K62" i="1"/>
  <c r="S61" i="1"/>
  <c r="O61" i="1"/>
  <c r="S60" i="1"/>
  <c r="I60" i="1"/>
  <c r="O57" i="1"/>
  <c r="K57" i="1"/>
  <c r="N55" i="1"/>
  <c r="H55" i="1"/>
  <c r="G55" i="1"/>
  <c r="G58" i="1" s="1"/>
  <c r="F55" i="1"/>
  <c r="F58" i="1" s="1"/>
  <c r="E55" i="1"/>
  <c r="D55" i="1"/>
  <c r="D58" i="1" s="1"/>
  <c r="C55" i="1"/>
  <c r="O54" i="1"/>
  <c r="M55" i="1"/>
  <c r="K54" i="1"/>
  <c r="Q55" i="1"/>
  <c r="Q58" i="1" s="1"/>
  <c r="O53" i="1"/>
  <c r="H51" i="1"/>
  <c r="G51" i="1"/>
  <c r="F51" i="1"/>
  <c r="K46" i="1"/>
  <c r="K45" i="1"/>
  <c r="K44" i="1"/>
  <c r="K43" i="1"/>
  <c r="K40" i="1"/>
  <c r="K35" i="1"/>
  <c r="Q29" i="1"/>
  <c r="K32" i="1"/>
  <c r="K31" i="1"/>
  <c r="R29" i="1"/>
  <c r="H29" i="1"/>
  <c r="G29" i="1"/>
  <c r="F29" i="1"/>
  <c r="E29" i="1"/>
  <c r="D29" i="1"/>
  <c r="C29" i="1"/>
  <c r="E28" i="1"/>
  <c r="D28" i="1"/>
  <c r="C28" i="1"/>
  <c r="G27" i="1"/>
  <c r="H26" i="1"/>
  <c r="G26" i="1"/>
  <c r="F26" i="1"/>
  <c r="E26" i="1"/>
  <c r="D26" i="1"/>
  <c r="C26" i="1"/>
  <c r="C25" i="1"/>
  <c r="O22" i="1"/>
  <c r="K22" i="1"/>
  <c r="O21" i="1"/>
  <c r="K19" i="1"/>
  <c r="C18" i="1"/>
  <c r="C23" i="1" s="1"/>
  <c r="O17" i="1"/>
  <c r="K17" i="1"/>
  <c r="F16" i="1"/>
  <c r="F18" i="1" s="1"/>
  <c r="O15" i="1"/>
  <c r="K15" i="1"/>
  <c r="O14" i="1"/>
  <c r="K14" i="1"/>
  <c r="O13" i="1"/>
  <c r="K13" i="1"/>
  <c r="N26" i="1"/>
  <c r="O26" i="1" s="1"/>
  <c r="K10" i="1"/>
  <c r="O8" i="1"/>
  <c r="K8" i="1"/>
  <c r="O7" i="1"/>
  <c r="K7" i="1"/>
  <c r="Q6" i="1"/>
  <c r="Q9" i="1" s="1"/>
  <c r="Q16" i="1" s="1"/>
  <c r="H6" i="1"/>
  <c r="H9" i="1" s="1"/>
  <c r="G6" i="1"/>
  <c r="E6" i="1"/>
  <c r="E9" i="1" s="1"/>
  <c r="D6" i="1"/>
  <c r="D9" i="1" s="1"/>
  <c r="D16" i="1" s="1"/>
  <c r="C6" i="1"/>
  <c r="C9" i="1" s="1"/>
  <c r="O5" i="1"/>
  <c r="K5" i="1"/>
  <c r="S4" i="1"/>
  <c r="N6" i="1"/>
  <c r="M6" i="1"/>
  <c r="J6" i="1"/>
  <c r="I6" i="1"/>
  <c r="S29" i="1" l="1"/>
  <c r="K23" i="2"/>
  <c r="S67" i="1"/>
  <c r="O55" i="1"/>
  <c r="O6" i="1"/>
  <c r="N9" i="1"/>
  <c r="D18" i="1"/>
  <c r="D25" i="1"/>
  <c r="E16" i="1"/>
  <c r="I9" i="1"/>
  <c r="H16" i="1"/>
  <c r="Q25" i="1"/>
  <c r="Q39" i="1" s="1"/>
  <c r="Q47" i="1" s="1"/>
  <c r="Q18" i="1"/>
  <c r="Q23" i="1" s="1"/>
  <c r="G30" i="2"/>
  <c r="G31" i="2" s="1"/>
  <c r="G16" i="2" s="1"/>
  <c r="J9" i="1"/>
  <c r="K6" i="1"/>
  <c r="M9" i="1"/>
  <c r="F23" i="1"/>
  <c r="C65" i="1"/>
  <c r="G12" i="2"/>
  <c r="G9" i="2"/>
  <c r="R6" i="1"/>
  <c r="S6" i="1" s="1"/>
  <c r="C39" i="1"/>
  <c r="H58" i="1"/>
  <c r="K63" i="1"/>
  <c r="O64" i="1"/>
  <c r="N6" i="3"/>
  <c r="O6" i="3" s="1"/>
  <c r="O9" i="3"/>
  <c r="K43" i="3"/>
  <c r="I29" i="1"/>
  <c r="K30" i="1"/>
  <c r="K36" i="1"/>
  <c r="K38" i="1"/>
  <c r="R55" i="1"/>
  <c r="S55" i="1" s="1"/>
  <c r="K5" i="2"/>
  <c r="H13" i="2"/>
  <c r="K10" i="2"/>
  <c r="Q23" i="2"/>
  <c r="R30" i="2"/>
  <c r="S26" i="2"/>
  <c r="K50" i="1"/>
  <c r="K21" i="1"/>
  <c r="Q14" i="3"/>
  <c r="Q18" i="3" s="1"/>
  <c r="Q24" i="3" s="1"/>
  <c r="S4" i="3"/>
  <c r="I6" i="3"/>
  <c r="I14" i="3" s="1"/>
  <c r="K7" i="3"/>
  <c r="K4" i="1"/>
  <c r="K26" i="1"/>
  <c r="K34" i="1"/>
  <c r="K37" i="1"/>
  <c r="K56" i="1"/>
  <c r="N58" i="1"/>
  <c r="C17" i="2"/>
  <c r="K51" i="1"/>
  <c r="K60" i="1"/>
  <c r="K19" i="3"/>
  <c r="O10" i="1"/>
  <c r="N29" i="1"/>
  <c r="J55" i="1"/>
  <c r="K53" i="1"/>
  <c r="M60" i="1"/>
  <c r="O4" i="2"/>
  <c r="M8" i="2"/>
  <c r="J39" i="2"/>
  <c r="M24" i="3"/>
  <c r="F25" i="1"/>
  <c r="M29" i="1"/>
  <c r="I55" i="1"/>
  <c r="K7" i="2"/>
  <c r="K22" i="2"/>
  <c r="O4" i="1"/>
  <c r="M58" i="1"/>
  <c r="C58" i="1"/>
  <c r="O60" i="1"/>
  <c r="O7" i="2"/>
  <c r="N8" i="2"/>
  <c r="I8" i="2"/>
  <c r="I13" i="2" s="1"/>
  <c r="K9" i="2"/>
  <c r="K14" i="2"/>
  <c r="J26" i="2"/>
  <c r="K24" i="2"/>
  <c r="M32" i="2"/>
  <c r="M34" i="2" s="1"/>
  <c r="M39" i="2"/>
  <c r="J18" i="3"/>
  <c r="G9" i="1"/>
  <c r="O56" i="1"/>
  <c r="J23" i="3"/>
  <c r="K33" i="1"/>
  <c r="J29" i="1"/>
  <c r="E58" i="1"/>
  <c r="K64" i="1"/>
  <c r="Q13" i="2"/>
  <c r="Q17" i="2" s="1"/>
  <c r="Q19" i="2" s="1"/>
  <c r="S8" i="2"/>
  <c r="D13" i="2"/>
  <c r="M3" i="3"/>
  <c r="M27" i="3" s="1"/>
  <c r="M38" i="2"/>
  <c r="S12" i="2"/>
  <c r="S16" i="2"/>
  <c r="H26" i="2"/>
  <c r="H30" i="2" s="1"/>
  <c r="H31" i="2" s="1"/>
  <c r="H16" i="2" s="1"/>
  <c r="K29" i="2"/>
  <c r="K43" i="2"/>
  <c r="O5" i="3"/>
  <c r="I53" i="3"/>
  <c r="K53" i="3" s="1"/>
  <c r="K51" i="3"/>
  <c r="N3" i="3"/>
  <c r="N27" i="3" s="1"/>
  <c r="N23" i="2"/>
  <c r="O47" i="3"/>
  <c r="R23" i="2"/>
  <c r="R3" i="3"/>
  <c r="R13" i="2"/>
  <c r="O9" i="2"/>
  <c r="I34" i="2"/>
  <c r="K34" i="2" s="1"/>
  <c r="I31" i="2"/>
  <c r="K33" i="2"/>
  <c r="I41" i="2"/>
  <c r="K41" i="2" s="1"/>
  <c r="R18" i="3"/>
  <c r="K11" i="3"/>
  <c r="O22" i="3"/>
  <c r="N43" i="3"/>
  <c r="O43" i="3" s="1"/>
  <c r="O41" i="3"/>
  <c r="K56" i="3"/>
  <c r="K15" i="3"/>
  <c r="K37" i="3"/>
  <c r="K49" i="3"/>
  <c r="K52" i="3"/>
  <c r="J13" i="2"/>
  <c r="S9" i="2"/>
  <c r="M23" i="2"/>
  <c r="N26" i="2"/>
  <c r="K32" i="2"/>
  <c r="K42" i="2"/>
  <c r="K51" i="2"/>
  <c r="S6" i="3"/>
  <c r="M48" i="3"/>
  <c r="O48" i="3" s="1"/>
  <c r="K50" i="2"/>
  <c r="O10" i="3"/>
  <c r="N23" i="3"/>
  <c r="I29" i="3"/>
  <c r="K29" i="3" s="1"/>
  <c r="K34" i="3"/>
  <c r="K36" i="3"/>
  <c r="O46" i="3"/>
  <c r="K48" i="3"/>
  <c r="K60" i="3"/>
  <c r="K40" i="2"/>
  <c r="K48" i="2"/>
  <c r="K4" i="3"/>
  <c r="K30" i="3"/>
  <c r="K54" i="3"/>
  <c r="K59" i="3"/>
  <c r="N41" i="2"/>
  <c r="O41" i="2" s="1"/>
  <c r="N34" i="3"/>
  <c r="O34" i="3" s="1"/>
  <c r="O51" i="3"/>
  <c r="R23" i="3"/>
  <c r="N14" i="3" l="1"/>
  <c r="O29" i="1"/>
  <c r="I39" i="2"/>
  <c r="K39" i="2" s="1"/>
  <c r="O8" i="2"/>
  <c r="O58" i="1"/>
  <c r="S14" i="3"/>
  <c r="K8" i="2"/>
  <c r="I18" i="3"/>
  <c r="K18" i="3" s="1"/>
  <c r="K14" i="3"/>
  <c r="K13" i="2"/>
  <c r="K12" i="2"/>
  <c r="K9" i="1"/>
  <c r="J16" i="1"/>
  <c r="R58" i="1"/>
  <c r="S58" i="1" s="1"/>
  <c r="N39" i="2"/>
  <c r="O39" i="2" s="1"/>
  <c r="D17" i="2"/>
  <c r="K29" i="1"/>
  <c r="F39" i="1"/>
  <c r="C19" i="2"/>
  <c r="F65" i="1"/>
  <c r="E18" i="1"/>
  <c r="E25" i="1"/>
  <c r="S23" i="3"/>
  <c r="R24" i="3"/>
  <c r="S24" i="3" s="1"/>
  <c r="S18" i="3"/>
  <c r="M13" i="2"/>
  <c r="D39" i="1"/>
  <c r="S13" i="2"/>
  <c r="R17" i="2"/>
  <c r="J24" i="3"/>
  <c r="K23" i="3"/>
  <c r="I58" i="1"/>
  <c r="H17" i="2"/>
  <c r="N13" i="2"/>
  <c r="C47" i="1"/>
  <c r="M16" i="1"/>
  <c r="I38" i="3"/>
  <c r="I33" i="3"/>
  <c r="N30" i="2"/>
  <c r="O26" i="2"/>
  <c r="O14" i="3"/>
  <c r="N18" i="3"/>
  <c r="O18" i="3" s="1"/>
  <c r="R9" i="1"/>
  <c r="S9" i="1" s="1"/>
  <c r="H25" i="1"/>
  <c r="H18" i="1"/>
  <c r="D23" i="1"/>
  <c r="O23" i="3"/>
  <c r="K6" i="3"/>
  <c r="G8" i="2"/>
  <c r="N16" i="1"/>
  <c r="O9" i="1"/>
  <c r="K18" i="2"/>
  <c r="G16" i="1"/>
  <c r="J30" i="2"/>
  <c r="K26" i="2"/>
  <c r="J58" i="1"/>
  <c r="K55" i="1"/>
  <c r="R32" i="2"/>
  <c r="S30" i="2"/>
  <c r="I17" i="2"/>
  <c r="I16" i="1"/>
  <c r="N24" i="3" l="1"/>
  <c r="O24" i="3" s="1"/>
  <c r="I19" i="2"/>
  <c r="D19" i="2"/>
  <c r="H23" i="1"/>
  <c r="O30" i="2"/>
  <c r="N32" i="2"/>
  <c r="O13" i="2"/>
  <c r="N17" i="2"/>
  <c r="S17" i="2"/>
  <c r="R19" i="2"/>
  <c r="S19" i="2" s="1"/>
  <c r="F47" i="1"/>
  <c r="O16" i="1"/>
  <c r="N18" i="1"/>
  <c r="N25" i="1"/>
  <c r="C48" i="1"/>
  <c r="G13" i="2"/>
  <c r="R34" i="2"/>
  <c r="S34" i="2" s="1"/>
  <c r="S32" i="2"/>
  <c r="K30" i="2"/>
  <c r="J31" i="2"/>
  <c r="H39" i="1"/>
  <c r="J28" i="3"/>
  <c r="D65" i="1"/>
  <c r="E39" i="1"/>
  <c r="I39" i="3"/>
  <c r="K38" i="3"/>
  <c r="D47" i="1"/>
  <c r="K58" i="1"/>
  <c r="R16" i="1"/>
  <c r="S16" i="1" s="1"/>
  <c r="M25" i="1"/>
  <c r="M18" i="1"/>
  <c r="I61" i="1"/>
  <c r="M17" i="2"/>
  <c r="H19" i="2"/>
  <c r="G25" i="1"/>
  <c r="G18" i="1"/>
  <c r="E23" i="1"/>
  <c r="J25" i="1"/>
  <c r="K16" i="1"/>
  <c r="J18" i="1"/>
  <c r="I25" i="1"/>
  <c r="I18" i="1"/>
  <c r="I24" i="3"/>
  <c r="G39" i="1" l="1"/>
  <c r="M23" i="1"/>
  <c r="K28" i="3"/>
  <c r="J33" i="3"/>
  <c r="G17" i="2"/>
  <c r="I39" i="1"/>
  <c r="K39" i="3"/>
  <c r="H65" i="1"/>
  <c r="H47" i="1"/>
  <c r="N19" i="2"/>
  <c r="O17" i="2"/>
  <c r="G23" i="1"/>
  <c r="D48" i="1"/>
  <c r="J23" i="1"/>
  <c r="K18" i="1"/>
  <c r="M39" i="1"/>
  <c r="M19" i="2"/>
  <c r="K31" i="2"/>
  <c r="N39" i="1"/>
  <c r="O25" i="1"/>
  <c r="E47" i="1"/>
  <c r="I23" i="1"/>
  <c r="N23" i="1"/>
  <c r="O18" i="1"/>
  <c r="O32" i="2"/>
  <c r="N34" i="2"/>
  <c r="O34" i="2" s="1"/>
  <c r="F48" i="1"/>
  <c r="K25" i="1"/>
  <c r="J39" i="1"/>
  <c r="R18" i="1"/>
  <c r="S18" i="1" s="1"/>
  <c r="R25" i="1"/>
  <c r="S25" i="1" s="1"/>
  <c r="K61" i="1"/>
  <c r="K24" i="3"/>
  <c r="O39" i="1" l="1"/>
  <c r="O23" i="1"/>
  <c r="N47" i="1"/>
  <c r="O47" i="1" s="1"/>
  <c r="K39" i="1"/>
  <c r="J47" i="1"/>
  <c r="K33" i="3"/>
  <c r="N28" i="3"/>
  <c r="R23" i="1"/>
  <c r="S23" i="1" s="1"/>
  <c r="K16" i="2"/>
  <c r="J17" i="2"/>
  <c r="K23" i="1"/>
  <c r="J65" i="1"/>
  <c r="I65" i="1"/>
  <c r="H48" i="1"/>
  <c r="G65" i="1"/>
  <c r="G19" i="2"/>
  <c r="E48" i="1"/>
  <c r="M47" i="1"/>
  <c r="R39" i="1"/>
  <c r="S39" i="1" s="1"/>
  <c r="O19" i="2"/>
  <c r="I47" i="1"/>
  <c r="G47" i="1"/>
  <c r="K65" i="1" l="1"/>
  <c r="J19" i="2"/>
  <c r="K17" i="2"/>
  <c r="K47" i="1"/>
  <c r="J48" i="1"/>
  <c r="N33" i="3"/>
  <c r="O33" i="3" s="1"/>
  <c r="O28" i="3"/>
  <c r="R47" i="1"/>
  <c r="S47" i="1" s="1"/>
  <c r="G48" i="1"/>
  <c r="M48" i="1"/>
  <c r="I48" i="1"/>
  <c r="I49" i="1"/>
  <c r="N48" i="1"/>
  <c r="O48" i="1" l="1"/>
  <c r="K19" i="2"/>
  <c r="K48" i="1"/>
  <c r="K49" i="1"/>
</calcChain>
</file>

<file path=xl/sharedStrings.xml><?xml version="1.0" encoding="utf-8"?>
<sst xmlns="http://schemas.openxmlformats.org/spreadsheetml/2006/main" count="508" uniqueCount="131">
  <si>
    <t>20-21</t>
  </si>
  <si>
    <t>21-22</t>
  </si>
  <si>
    <t>-</t>
  </si>
  <si>
    <t>Customer solutions gross profit</t>
  </si>
  <si>
    <t>n.a.</t>
  </si>
  <si>
    <t>Hasılat</t>
  </si>
  <si>
    <t>Satışların maliyeti</t>
  </si>
  <si>
    <t>Brüt Kâr</t>
  </si>
  <si>
    <t>İşletme giderleri</t>
  </si>
  <si>
    <t>Diğer gelir/gider</t>
  </si>
  <si>
    <t>Faaliyet Kârı</t>
  </si>
  <si>
    <t>Amortisman giderlerine ilişkin düzeltmeler</t>
  </si>
  <si>
    <t xml:space="preserve">Şerefiye değer düşüklüğü </t>
  </si>
  <si>
    <t>TradeCo ilişkili pro-forma FAVÖK düzeltmesi</t>
  </si>
  <si>
    <t>Operasyonel kur farkından kaynaklanan gelir ve giderlere ilişkin düzeltmeler</t>
  </si>
  <si>
    <t>Depozitolardan kaynaklanan değerleme farkına ilişkin düzeltmeler</t>
  </si>
  <si>
    <t>Gelir tavanı düzenlemesiyle ilgili faiz geliri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</si>
  <si>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</si>
  <si>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</si>
  <si>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</si>
  <si>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</si>
  <si>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</si>
  <si>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</si>
  <si>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</si>
  <si>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</si>
  <si>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</si>
  <si>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</si>
  <si>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Net kredi faiz gideri</t>
  </si>
  <si>
    <t>Ağırlıklı ortalama kredi finansman maliyeti (%)</t>
  </si>
  <si>
    <t>Ağırlıklı ortalama kredi finansman maliyeti (%) - 
Operasyonel kur farkları düzeltilmiş</t>
  </si>
  <si>
    <t>Tahvil faiz gideri</t>
  </si>
  <si>
    <t>Ağırlıklı ortalama tahvil finansman maliyeti (%)</t>
  </si>
  <si>
    <t>Depozito değerleme giderleri</t>
  </si>
  <si>
    <t>Kiralama borçları faiz gideri</t>
  </si>
  <si>
    <t>Diğer</t>
  </si>
  <si>
    <t>Gelir vergisi</t>
  </si>
  <si>
    <t>Net Kâr</t>
  </si>
  <si>
    <t>Şerefiye değer düşüklüğü karşılığı gideri</t>
  </si>
  <si>
    <t>Vergi oran değişikliği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</si>
  <si>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</si>
  <si>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</si>
  <si>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</si>
  <si>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</si>
  <si>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</si>
  <si>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</si>
  <si>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</si>
  <si>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</si>
  <si>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</si>
  <si>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</si>
  <si>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</si>
  <si>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</si>
  <si>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</si>
  <si>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</si>
  <si>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</si>
  <si>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</si>
  <si>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</si>
  <si>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</si>
  <si>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Ekonomik Net Borç (Kapanış Bakiyesi)</t>
  </si>
  <si>
    <t>Değişim</t>
  </si>
  <si>
    <t>9A</t>
  </si>
  <si>
    <t>3Ç</t>
  </si>
  <si>
    <t>Perakende</t>
  </si>
  <si>
    <t>Finansallar</t>
  </si>
  <si>
    <t>Düzenlemeye tabi brüt kâr</t>
  </si>
  <si>
    <t>Serbest piyasa satışlarından elde edilen brüt kâr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</si>
  <si>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</si>
  <si>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</si>
  <si>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</si>
  <si>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</si>
  <si>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</si>
  <si>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</si>
  <si>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</si>
  <si>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Müşteri Çözümleri</t>
  </si>
  <si>
    <t>Brüt kâr (amortisman hariç)</t>
  </si>
  <si>
    <t>Perakende &amp; Müşteri Çözümleri</t>
  </si>
  <si>
    <t>Faaliyetler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</si>
  <si>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</si>
  <si>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</si>
  <si>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</si>
  <si>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</si>
  <si>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</si>
  <si>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</si>
  <si>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</si>
  <si>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</si>
  <si>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</si>
  <si>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</si>
  <si>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Kurulu Güç Kapasitesi</t>
  </si>
  <si>
    <t>GES (MWp)</t>
  </si>
  <si>
    <t>Kojenerasyon (MW)</t>
  </si>
  <si>
    <t>E-mobilite</t>
  </si>
  <si>
    <t>Şarj soket sayısı</t>
  </si>
  <si>
    <t>Halka açık şarj noktası</t>
  </si>
  <si>
    <t>Dağıtım</t>
  </si>
  <si>
    <t>Finansal gelir</t>
  </si>
  <si>
    <t>Verimlilik ve kalite</t>
  </si>
  <si>
    <t>Yatırım harcamaları verimliliği</t>
  </si>
  <si>
    <t>İşletme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</si>
  <si>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</si>
  <si>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</si>
  <si>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</si>
  <si>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</si>
  <si>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</si>
  <si>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</si>
  <si>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</si>
  <si>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</si>
  <si>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Ödenmemiş ve geçmiş yıl yatırım harcamaları</t>
  </si>
  <si>
    <t>Nakit Etkisi Olan Yatırım Harcamaları</t>
  </si>
  <si>
    <t xml:space="preserve">Dağıtım 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</si>
  <si>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</si>
  <si>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</si>
  <si>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</si>
  <si>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</si>
  <si>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</si>
  <si>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</si>
  <si>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</si>
  <si>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</si>
  <si>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</si>
  <si>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</si>
  <si>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</si>
  <si>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</si>
  <si>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</si>
  <si>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</si>
  <si>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</si>
  <si>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</si>
  <si>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</si>
  <si>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</si>
  <si>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</si>
  <si>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</si>
  <si>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</si>
  <si>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 xml:space="preserve">Konsolide </t>
  </si>
  <si>
    <t>Finansal Tablolar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</si>
</sst>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0.0%"/>
    <numFmt numFmtId="166" formatCode="#,##0.0"/>
    <numFmt numFmtId="167" formatCode="#,##0.0000"/>
    <numFmt numFmtId="168" formatCode="%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164" fontId="0" fillId="0" borderId="0" xfId="0" applyNumberFormat="1"/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wrapText="1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4" fillId="2" borderId="2" xfId="0" applyNumberFormat="1" applyFont="1" applyFill="1" applyBorder="1" applyAlignment="1">
      <alignment horizontal="right" indent="1"/>
    </xf>
    <xf numFmtId="166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10" fontId="0" fillId="0" borderId="0" xfId="1" applyNumberFormat="1" applyFont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4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6" fontId="0" fillId="0" borderId="2" xfId="0" applyNumberFormat="1" applyBorder="1" applyAlignment="1">
      <alignment horizontal="right" indent="1"/>
    </xf>
    <xf numFmtId="3" fontId="4" fillId="2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6" fontId="0" fillId="0" borderId="2" xfId="0" applyNumberFormat="1" applyFill="1" applyBorder="1" applyAlignment="1">
      <alignment horizontal="right"/>
    </xf>
    <xf numFmtId="167" fontId="0" fillId="0" borderId="0" xfId="0" applyNumberFormat="1"/>
    <xf numFmtId="0" fontId="0" fillId="0" borderId="1" xfId="0" applyBorder="1" applyAlignment="1">
      <alignment horizontal="left" indent="2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6" fontId="0" fillId="0" borderId="2" xfId="0" quotePrefix="1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Fill="1" applyAlignment="1"/>
    <xf numFmtId="0" fontId="0" fillId="0" borderId="0" xfId="0" applyFill="1" applyAlignment="1"/>
    <xf numFmtId="165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3" fontId="7" fillId="0" borderId="0" xfId="1" applyNumberFormat="1" applyFont="1" applyFill="1" applyAlignment="1"/>
    <xf numFmtId="0" fontId="5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4" fontId="0" fillId="0" borderId="0" xfId="0" applyNumberFormat="1"/>
    <xf numFmtId="165" fontId="5" fillId="2" borderId="2" xfId="1" applyNumberFormat="1" applyFont="1" applyFill="1" applyBorder="1" applyAlignment="1"/>
    <xf numFmtId="3" fontId="5" fillId="2" borderId="2" xfId="0" applyNumberFormat="1" applyFont="1" applyFill="1" applyBorder="1" applyAlignment="1"/>
    <xf numFmtId="166" fontId="0" fillId="0" borderId="2" xfId="0" applyNumberFormat="1" applyFill="1" applyBorder="1" applyAlignment="1"/>
    <xf numFmtId="3" fontId="0" fillId="0" borderId="0" xfId="0" applyNumberFormat="1" applyFill="1" applyBorder="1" applyAlignment="1"/>
    <xf numFmtId="166" fontId="0" fillId="0" borderId="0" xfId="0" applyNumberFormat="1" applyFill="1" applyBorder="1" applyAlignment="1"/>
    <xf numFmtId="166" fontId="0" fillId="0" borderId="0" xfId="0" applyNumberFormat="1" applyAlignment="1"/>
    <xf numFmtId="3" fontId="0" fillId="0" borderId="0" xfId="0" applyNumberFormat="1" applyAlignment="1"/>
    <xf numFmtId="3" fontId="7" fillId="0" borderId="0" xfId="0" applyNumberFormat="1" applyFont="1" applyFill="1"/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168" fontId="0" fillId="0" borderId="2" xfId="1" applyNumberFormat="1" applyFont="1" applyFill="1" applyBorder="1" applyAlignment="1">
      <alignment horizontal="right" indent="1"/>
    </xf>
    <xf numFmtId="168" fontId="0" fillId="0" borderId="0" xfId="0" applyNumberFormat="1" applyFill="1" applyBorder="1"/>
    <xf numFmtId="168" fontId="0" fillId="0" borderId="0" xfId="0" applyNumberFormat="1"/>
    <xf numFmtId="168" fontId="0" fillId="0" borderId="2" xfId="0" quotePrefix="1" applyNumberFormat="1" applyFont="1" applyFill="1" applyBorder="1" applyAlignment="1">
      <alignment horizontal="right" indent="1"/>
    </xf>
    <xf numFmtId="168" fontId="4" fillId="2" borderId="2" xfId="1" applyNumberFormat="1" applyFont="1" applyFill="1" applyBorder="1" applyAlignment="1">
      <alignment horizontal="right"/>
    </xf>
    <xf numFmtId="168" fontId="0" fillId="0" borderId="0" xfId="0" applyNumberFormat="1" applyAlignment="1">
      <alignment horizontal="right" indent="1"/>
    </xf>
    <xf numFmtId="168" fontId="0" fillId="0" borderId="2" xfId="1" applyNumberFormat="1" applyFont="1" applyFill="1" applyBorder="1" applyAlignment="1">
      <alignment horizontal="right"/>
    </xf>
    <xf numFmtId="168" fontId="0" fillId="0" borderId="2" xfId="1" applyNumberFormat="1" applyFont="1" applyFill="1" applyBorder="1" applyAlignment="1"/>
    <xf numFmtId="168" fontId="0" fillId="0" borderId="0" xfId="0" applyNumberFormat="1" applyFill="1" applyAlignment="1"/>
    <xf numFmtId="168" fontId="0" fillId="0" borderId="2" xfId="1" applyNumberFormat="1" applyFont="1" applyBorder="1" applyAlignment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74"/>
  <sheetViews>
    <sheetView showGridLines="0" tabSelected="1" zoomScaleNormal="100" zoomScaleSheetLayoutView="100" workbookViewId="0">
      <pane xSplit="2" ySplit="3" topLeftCell="C4" activePane="bottomRight" state="frozen"/>
      <selection activeCell="S60" sqref="S60"/>
      <selection pane="topRight" activeCell="S60" sqref="S60"/>
      <selection pane="bottomLeft" activeCell="S60" sqref="S60"/>
      <selection pane="bottomRight"/>
    </sheetView>
  </sheetViews>
  <sheetFormatPr defaultColWidth="8.85546875" defaultRowHeight="15" x14ac:dyDescent="0.25"/>
  <cols>
    <col min="1" max="1" width="8.42578125" customWidth="1"/>
    <col min="2" max="2" width="70.28515625" bestFit="1" customWidth="1"/>
    <col min="3" max="5" width="8.7109375" bestFit="1" customWidth="1"/>
    <col min="6" max="6" width="9.140625" bestFit="1" customWidth="1"/>
    <col min="7" max="10" width="9.85546875" bestFit="1" customWidth="1"/>
    <col min="11" max="11" width="8.7109375" bestFit="1" customWidth="1"/>
    <col min="12" max="12" width="2.85546875" style="3" customWidth="1"/>
    <col min="13" max="15" width="9.85546875" bestFit="1" customWidth="1"/>
    <col min="16" max="16" width="1.85546875" customWidth="1"/>
    <col min="17" max="17" width="9.140625" bestFit="1" customWidth="1"/>
    <col min="18" max="19" width="9.85546875" bestFit="1" customWidth="1"/>
  </cols>
  <sheetData>
    <row r="1" spans="2:39" x14ac:dyDescent="0.25">
      <c r="C1" s="1"/>
      <c r="D1" s="1"/>
      <c r="E1" s="1"/>
      <c r="F1" s="2"/>
      <c r="G1" s="2"/>
      <c r="H1" s="2"/>
      <c r="K1" s="2"/>
      <c r="O1" s="2"/>
      <c r="S1" s="2"/>
    </row>
    <row r="2" spans="2:39" x14ac:dyDescent="0.25">
      <c r="B2" s="5" t="s">
        <v>129</v>
      </c>
      <c r="C2" s="6"/>
      <c r="D2" s="6"/>
      <c r="E2" s="6"/>
      <c r="F2" s="6"/>
      <c r="G2" s="6"/>
      <c r="H2" s="6"/>
      <c r="I2" s="6"/>
      <c r="J2" s="6"/>
      <c r="K2" s="6" t="s">
        <v>58</v>
      </c>
      <c r="L2" s="7"/>
      <c r="M2" s="6" t="s">
        <v>59</v>
      </c>
      <c r="N2" s="6" t="s">
        <v>59</v>
      </c>
      <c r="O2" s="6" t="s">
        <v>58</v>
      </c>
      <c r="Q2" s="6" t="s">
        <v>60</v>
      </c>
      <c r="R2" s="6" t="s">
        <v>60</v>
      </c>
      <c r="S2" s="6" t="s">
        <v>58</v>
      </c>
    </row>
    <row r="3" spans="2:39" ht="15.75" thickBot="1" x14ac:dyDescent="0.3">
      <c r="B3" s="8" t="s">
        <v>130</v>
      </c>
      <c r="C3" s="9">
        <v>2014</v>
      </c>
      <c r="D3" s="9">
        <v>2015</v>
      </c>
      <c r="E3" s="9">
        <v>2016</v>
      </c>
      <c r="F3" s="9">
        <v>2017</v>
      </c>
      <c r="G3" s="9">
        <v>2018</v>
      </c>
      <c r="H3" s="9">
        <v>2019</v>
      </c>
      <c r="I3" s="9">
        <v>2020</v>
      </c>
      <c r="J3" s="9">
        <v>2021</v>
      </c>
      <c r="K3" s="10" t="s">
        <v>0</v>
      </c>
      <c r="L3" s="7"/>
      <c r="M3" s="9">
        <v>2021</v>
      </c>
      <c r="N3" s="9">
        <v>2022</v>
      </c>
      <c r="O3" s="10" t="s">
        <v>1</v>
      </c>
      <c r="Q3" s="9">
        <v>2021</v>
      </c>
      <c r="R3" s="9">
        <v>2022</v>
      </c>
      <c r="S3" s="10" t="s">
        <v>1</v>
      </c>
    </row>
    <row r="4" spans="2:39" x14ac:dyDescent="0.25">
      <c r="B4" s="11" t="s">
        <v>5</v>
      </c>
      <c r="C4" s="12">
        <v>8064.4210000000003</v>
      </c>
      <c r="D4" s="12">
        <v>9153.6139999999996</v>
      </c>
      <c r="E4" s="12">
        <v>9103.3799999999992</v>
      </c>
      <c r="F4" s="12">
        <v>12345</v>
      </c>
      <c r="G4" s="12">
        <v>18347</v>
      </c>
      <c r="H4" s="12">
        <v>19453</v>
      </c>
      <c r="I4" s="12">
        <v>21757</v>
      </c>
      <c r="J4" s="12">
        <v>30548</v>
      </c>
      <c r="K4" s="12">
        <f>J4-I4</f>
        <v>8791</v>
      </c>
      <c r="M4" s="12">
        <v>20360</v>
      </c>
      <c r="N4" s="12">
        <v>60442</v>
      </c>
      <c r="O4" s="12">
        <f>N4-M4</f>
        <v>40082</v>
      </c>
      <c r="P4" s="13"/>
      <c r="Q4" s="12">
        <v>8395</v>
      </c>
      <c r="R4" s="12">
        <v>24325</v>
      </c>
      <c r="S4" s="12">
        <f>R4-Q4</f>
        <v>15930</v>
      </c>
      <c r="T4" s="13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x14ac:dyDescent="0.25">
      <c r="B5" s="11" t="s">
        <v>6</v>
      </c>
      <c r="C5" s="12">
        <v>-6753.5110000000004</v>
      </c>
      <c r="D5" s="12">
        <v>-7108.12</v>
      </c>
      <c r="E5" s="12">
        <v>-6500.9560000000001</v>
      </c>
      <c r="F5" s="12">
        <v>-8412</v>
      </c>
      <c r="G5" s="12">
        <v>-12380</v>
      </c>
      <c r="H5" s="12">
        <v>-14109</v>
      </c>
      <c r="I5" s="12">
        <v>-16118</v>
      </c>
      <c r="J5" s="12">
        <v>-22266</v>
      </c>
      <c r="K5" s="12">
        <f t="shared" ref="K5:K65" si="0">J5-I5</f>
        <v>-6148</v>
      </c>
      <c r="M5" s="12">
        <v>-14826</v>
      </c>
      <c r="N5" s="12">
        <v>-49825</v>
      </c>
      <c r="O5" s="12">
        <f t="shared" ref="O5:O10" si="1">N5-M5</f>
        <v>-34999</v>
      </c>
      <c r="P5" s="13"/>
      <c r="Q5" s="12">
        <v>-6316</v>
      </c>
      <c r="R5" s="12">
        <v>-20166</v>
      </c>
      <c r="S5" s="12">
        <f t="shared" ref="S5:S58" si="2">R5-Q5</f>
        <v>-13850</v>
      </c>
      <c r="T5" s="13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2:39" x14ac:dyDescent="0.25">
      <c r="B6" s="14" t="s">
        <v>7</v>
      </c>
      <c r="C6" s="15">
        <f t="shared" ref="C6:E6" si="3">SUM(C4:C5)</f>
        <v>1310.9099999999999</v>
      </c>
      <c r="D6" s="15">
        <f t="shared" si="3"/>
        <v>2045.4939999999997</v>
      </c>
      <c r="E6" s="15">
        <f t="shared" si="3"/>
        <v>2602.4239999999991</v>
      </c>
      <c r="F6" s="15">
        <v>3932</v>
      </c>
      <c r="G6" s="15">
        <f>SUM(G4:G5)</f>
        <v>5967</v>
      </c>
      <c r="H6" s="15">
        <f>SUM(H4:H5)</f>
        <v>5344</v>
      </c>
      <c r="I6" s="15">
        <f>SUM(I4:I5)</f>
        <v>5639</v>
      </c>
      <c r="J6" s="15">
        <f>SUM(J4:J5)</f>
        <v>8282</v>
      </c>
      <c r="K6" s="15">
        <f t="shared" si="0"/>
        <v>2643</v>
      </c>
      <c r="L6" s="16"/>
      <c r="M6" s="15">
        <f>SUM(M4:M5)</f>
        <v>5534</v>
      </c>
      <c r="N6" s="15">
        <f>SUM(N4:N5)</f>
        <v>10617</v>
      </c>
      <c r="O6" s="15">
        <f t="shared" si="1"/>
        <v>5083</v>
      </c>
      <c r="P6" s="13"/>
      <c r="Q6" s="15">
        <f>SUM(Q4:Q5)</f>
        <v>2079</v>
      </c>
      <c r="R6" s="15">
        <f>SUM(R4:R5)</f>
        <v>4159</v>
      </c>
      <c r="S6" s="15">
        <f t="shared" si="2"/>
        <v>2080</v>
      </c>
      <c r="T6" s="13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2:39" x14ac:dyDescent="0.25">
      <c r="B7" s="11" t="s">
        <v>8</v>
      </c>
      <c r="C7" s="12">
        <v>-967.3</v>
      </c>
      <c r="D7" s="12">
        <v>-1079.79</v>
      </c>
      <c r="E7" s="12">
        <v>-1228</v>
      </c>
      <c r="F7" s="12">
        <v>-1519</v>
      </c>
      <c r="G7" s="12">
        <v>-1849</v>
      </c>
      <c r="H7" s="12">
        <v>-2170</v>
      </c>
      <c r="I7" s="12">
        <v>-2543</v>
      </c>
      <c r="J7" s="12">
        <v>-3383</v>
      </c>
      <c r="K7" s="12">
        <f t="shared" si="0"/>
        <v>-840</v>
      </c>
      <c r="M7" s="12">
        <v>-2236</v>
      </c>
      <c r="N7" s="12">
        <v>-4852</v>
      </c>
      <c r="O7" s="12">
        <f t="shared" si="1"/>
        <v>-2616</v>
      </c>
      <c r="P7" s="13"/>
      <c r="Q7" s="12">
        <v>-837</v>
      </c>
      <c r="R7" s="12">
        <v>-1898</v>
      </c>
      <c r="S7" s="12">
        <f t="shared" si="2"/>
        <v>-1061</v>
      </c>
      <c r="T7" s="13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2:39" x14ac:dyDescent="0.25">
      <c r="B8" s="11" t="s">
        <v>9</v>
      </c>
      <c r="C8" s="12">
        <v>-36</v>
      </c>
      <c r="D8" s="12">
        <v>72.599999999999994</v>
      </c>
      <c r="E8" s="12">
        <v>-102</v>
      </c>
      <c r="F8" s="12">
        <v>-173</v>
      </c>
      <c r="G8" s="12">
        <v>-1307</v>
      </c>
      <c r="H8" s="12">
        <v>-110</v>
      </c>
      <c r="I8" s="12">
        <v>-358</v>
      </c>
      <c r="J8" s="12">
        <v>-385</v>
      </c>
      <c r="K8" s="12">
        <f t="shared" si="0"/>
        <v>-27</v>
      </c>
      <c r="M8" s="12">
        <v>-280</v>
      </c>
      <c r="N8" s="12">
        <v>-410</v>
      </c>
      <c r="O8" s="12">
        <f t="shared" si="1"/>
        <v>-130</v>
      </c>
      <c r="P8" s="13"/>
      <c r="Q8" s="12">
        <v>-135</v>
      </c>
      <c r="R8" s="12">
        <v>-29</v>
      </c>
      <c r="S8" s="12">
        <f t="shared" si="2"/>
        <v>106</v>
      </c>
      <c r="T8" s="13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2:39" x14ac:dyDescent="0.25">
      <c r="B9" s="14" t="s">
        <v>10</v>
      </c>
      <c r="C9" s="15">
        <f>SUM(C6:C8)</f>
        <v>307.6099999999999</v>
      </c>
      <c r="D9" s="15">
        <f t="shared" ref="D9:E9" si="4">SUM(D6:D8)</f>
        <v>1038.3039999999996</v>
      </c>
      <c r="E9" s="15">
        <f t="shared" si="4"/>
        <v>1272.4239999999991</v>
      </c>
      <c r="F9" s="15">
        <v>2241</v>
      </c>
      <c r="G9" s="15">
        <f>SUM(G6:G8)</f>
        <v>2811</v>
      </c>
      <c r="H9" s="15">
        <f>SUM(H6:H8)</f>
        <v>3064</v>
      </c>
      <c r="I9" s="15">
        <f>SUM(I6:I8)</f>
        <v>2738</v>
      </c>
      <c r="J9" s="15">
        <f>SUM(J6:J8)</f>
        <v>4514</v>
      </c>
      <c r="K9" s="15">
        <f t="shared" si="0"/>
        <v>1776</v>
      </c>
      <c r="L9" s="16"/>
      <c r="M9" s="15">
        <f>SUM(M6:M8)</f>
        <v>3018</v>
      </c>
      <c r="N9" s="15">
        <f>SUM(N6:N8)</f>
        <v>5355</v>
      </c>
      <c r="O9" s="15">
        <f t="shared" si="1"/>
        <v>2337</v>
      </c>
      <c r="P9" s="13"/>
      <c r="Q9" s="15">
        <f>SUM(Q6:Q8)</f>
        <v>1107</v>
      </c>
      <c r="R9" s="15">
        <f>SUM(R6:R8)</f>
        <v>2232</v>
      </c>
      <c r="S9" s="15">
        <f t="shared" si="2"/>
        <v>1125</v>
      </c>
      <c r="T9" s="13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2:39" x14ac:dyDescent="0.25">
      <c r="B10" s="11" t="s">
        <v>11</v>
      </c>
      <c r="C10" s="12">
        <v>208.66300000000001</v>
      </c>
      <c r="D10" s="12">
        <v>219.4</v>
      </c>
      <c r="E10" s="12">
        <v>218</v>
      </c>
      <c r="F10" s="12">
        <v>235</v>
      </c>
      <c r="G10" s="12">
        <v>258</v>
      </c>
      <c r="H10" s="12">
        <v>373</v>
      </c>
      <c r="I10" s="12">
        <v>444</v>
      </c>
      <c r="J10" s="12">
        <v>473</v>
      </c>
      <c r="K10" s="12">
        <f t="shared" si="0"/>
        <v>29</v>
      </c>
      <c r="M10" s="12">
        <v>342</v>
      </c>
      <c r="N10" s="12">
        <v>404</v>
      </c>
      <c r="O10" s="12">
        <f t="shared" si="1"/>
        <v>62</v>
      </c>
      <c r="P10" s="13"/>
      <c r="Q10" s="12">
        <v>123</v>
      </c>
      <c r="R10" s="12">
        <v>141</v>
      </c>
      <c r="S10" s="12">
        <f t="shared" si="2"/>
        <v>18</v>
      </c>
      <c r="T10" s="13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2:39" x14ac:dyDescent="0.25">
      <c r="B11" s="11" t="s">
        <v>12</v>
      </c>
      <c r="C11" s="17" t="s">
        <v>2</v>
      </c>
      <c r="D11" s="17" t="s">
        <v>2</v>
      </c>
      <c r="E11" s="17" t="s">
        <v>2</v>
      </c>
      <c r="F11" s="17" t="s">
        <v>2</v>
      </c>
      <c r="G11" s="12">
        <v>753</v>
      </c>
      <c r="H11" s="12" t="s">
        <v>2</v>
      </c>
      <c r="I11" s="12" t="s">
        <v>2</v>
      </c>
      <c r="J11" s="12" t="s">
        <v>2</v>
      </c>
      <c r="K11" s="12" t="s">
        <v>2</v>
      </c>
      <c r="M11" s="12" t="s">
        <v>2</v>
      </c>
      <c r="N11" s="12" t="s">
        <v>2</v>
      </c>
      <c r="O11" s="12" t="s">
        <v>2</v>
      </c>
      <c r="P11" s="13"/>
      <c r="Q11" s="12" t="s">
        <v>2</v>
      </c>
      <c r="R11" s="12" t="s">
        <v>2</v>
      </c>
      <c r="S11" s="12" t="s">
        <v>2</v>
      </c>
      <c r="T11" s="13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2:39" x14ac:dyDescent="0.25">
      <c r="B12" s="11" t="s">
        <v>13</v>
      </c>
      <c r="C12" s="12">
        <v>16</v>
      </c>
      <c r="D12" s="12">
        <v>-60</v>
      </c>
      <c r="E12" s="12">
        <v>-16</v>
      </c>
      <c r="F12" s="17" t="s">
        <v>2</v>
      </c>
      <c r="G12" s="17" t="s">
        <v>2</v>
      </c>
      <c r="H12" s="17" t="s">
        <v>2</v>
      </c>
      <c r="I12" s="12" t="s">
        <v>2</v>
      </c>
      <c r="J12" s="12" t="s">
        <v>2</v>
      </c>
      <c r="K12" s="12" t="s">
        <v>2</v>
      </c>
      <c r="M12" s="12" t="s">
        <v>2</v>
      </c>
      <c r="N12" s="12" t="s">
        <v>2</v>
      </c>
      <c r="O12" s="12" t="s">
        <v>2</v>
      </c>
      <c r="P12" s="13"/>
      <c r="Q12" s="12" t="s">
        <v>2</v>
      </c>
      <c r="R12" s="12" t="s">
        <v>2</v>
      </c>
      <c r="S12" s="12" t="s">
        <v>2</v>
      </c>
      <c r="T12" s="13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2:39" x14ac:dyDescent="0.25">
      <c r="B13" s="11" t="s">
        <v>14</v>
      </c>
      <c r="C13" s="17" t="s">
        <v>2</v>
      </c>
      <c r="D13" s="17" t="s">
        <v>2</v>
      </c>
      <c r="E13" s="17" t="s">
        <v>2</v>
      </c>
      <c r="F13" s="17" t="s">
        <v>2</v>
      </c>
      <c r="G13" s="17">
        <v>44</v>
      </c>
      <c r="H13" s="17">
        <v>4</v>
      </c>
      <c r="I13" s="12">
        <v>28</v>
      </c>
      <c r="J13" s="12">
        <v>262</v>
      </c>
      <c r="K13" s="12">
        <f t="shared" si="0"/>
        <v>234</v>
      </c>
      <c r="M13" s="12">
        <v>45</v>
      </c>
      <c r="N13" s="12">
        <v>250</v>
      </c>
      <c r="O13" s="12">
        <f t="shared" ref="O13:O18" si="5">N13-M13</f>
        <v>205</v>
      </c>
      <c r="P13" s="13"/>
      <c r="Q13" s="12">
        <v>5</v>
      </c>
      <c r="R13" s="12">
        <v>88</v>
      </c>
      <c r="S13" s="12">
        <f t="shared" si="2"/>
        <v>83</v>
      </c>
      <c r="T13" s="13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9" x14ac:dyDescent="0.25">
      <c r="B14" s="11" t="s">
        <v>15</v>
      </c>
      <c r="C14" s="12">
        <v>43</v>
      </c>
      <c r="D14" s="12">
        <v>36</v>
      </c>
      <c r="E14" s="12">
        <v>40</v>
      </c>
      <c r="F14" s="12">
        <v>79</v>
      </c>
      <c r="G14" s="17">
        <v>243</v>
      </c>
      <c r="H14" s="17">
        <v>114</v>
      </c>
      <c r="I14" s="12">
        <v>162</v>
      </c>
      <c r="J14" s="12">
        <v>306</v>
      </c>
      <c r="K14" s="12">
        <f t="shared" si="0"/>
        <v>144</v>
      </c>
      <c r="M14" s="12">
        <v>222</v>
      </c>
      <c r="N14" s="12">
        <v>1389</v>
      </c>
      <c r="O14" s="12">
        <f t="shared" si="5"/>
        <v>1167</v>
      </c>
      <c r="P14" s="13"/>
      <c r="Q14" s="12">
        <v>80</v>
      </c>
      <c r="R14" s="12">
        <v>315</v>
      </c>
      <c r="S14" s="12">
        <f t="shared" si="2"/>
        <v>235</v>
      </c>
      <c r="T14" s="13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2:39" x14ac:dyDescent="0.25">
      <c r="B15" s="11" t="s">
        <v>16</v>
      </c>
      <c r="C15" s="12">
        <v>-5</v>
      </c>
      <c r="D15" s="12">
        <v>-2</v>
      </c>
      <c r="E15" s="12">
        <v>-19</v>
      </c>
      <c r="F15" s="12">
        <v>0</v>
      </c>
      <c r="G15" s="17">
        <v>-44</v>
      </c>
      <c r="H15" s="17">
        <v>-186</v>
      </c>
      <c r="I15" s="12">
        <v>-30</v>
      </c>
      <c r="J15" s="12">
        <v>-56</v>
      </c>
      <c r="K15" s="12">
        <f t="shared" si="0"/>
        <v>-26</v>
      </c>
      <c r="M15" s="12">
        <v>-37</v>
      </c>
      <c r="N15" s="12">
        <v>40</v>
      </c>
      <c r="O15" s="12">
        <f t="shared" si="5"/>
        <v>77</v>
      </c>
      <c r="P15" s="13"/>
      <c r="Q15" s="12">
        <v>-12</v>
      </c>
      <c r="R15" s="12">
        <v>6</v>
      </c>
      <c r="S15" s="12">
        <f t="shared" si="2"/>
        <v>18</v>
      </c>
      <c r="T15" s="13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2:39" x14ac:dyDescent="0.25">
      <c r="B16" s="14" t="s">
        <v>17</v>
      </c>
      <c r="C16" s="15">
        <v>569</v>
      </c>
      <c r="D16" s="15">
        <f>SUM(D9:D15)</f>
        <v>1231.7039999999997</v>
      </c>
      <c r="E16" s="15">
        <f>SUM(E9:E15)</f>
        <v>1495.4239999999991</v>
      </c>
      <c r="F16" s="15">
        <f t="shared" ref="F16:J16" si="6">SUM(F9:F15)</f>
        <v>2555</v>
      </c>
      <c r="G16" s="15">
        <f t="shared" si="6"/>
        <v>4065</v>
      </c>
      <c r="H16" s="15">
        <f t="shared" si="6"/>
        <v>3369</v>
      </c>
      <c r="I16" s="15">
        <f t="shared" si="6"/>
        <v>3342</v>
      </c>
      <c r="J16" s="15">
        <f t="shared" si="6"/>
        <v>5499</v>
      </c>
      <c r="K16" s="15">
        <f t="shared" si="0"/>
        <v>2157</v>
      </c>
      <c r="L16" s="16"/>
      <c r="M16" s="15">
        <f t="shared" ref="M16:N16" si="7">SUM(M9:M15)</f>
        <v>3590</v>
      </c>
      <c r="N16" s="15">
        <f t="shared" si="7"/>
        <v>7438</v>
      </c>
      <c r="O16" s="15">
        <f t="shared" si="5"/>
        <v>3848</v>
      </c>
      <c r="P16" s="13"/>
      <c r="Q16" s="15">
        <f t="shared" ref="Q16:R16" si="8">SUM(Q9:Q15)</f>
        <v>1303</v>
      </c>
      <c r="R16" s="15">
        <f t="shared" si="8"/>
        <v>2782</v>
      </c>
      <c r="S16" s="15">
        <f t="shared" si="2"/>
        <v>1479</v>
      </c>
      <c r="T16" s="13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30" x14ac:dyDescent="0.25">
      <c r="B17" s="18" t="s">
        <v>18</v>
      </c>
      <c r="C17" s="19">
        <v>210</v>
      </c>
      <c r="D17" s="19">
        <v>200</v>
      </c>
      <c r="E17" s="19">
        <v>443</v>
      </c>
      <c r="F17" s="19">
        <v>592</v>
      </c>
      <c r="G17" s="12">
        <v>798</v>
      </c>
      <c r="H17" s="12">
        <v>1058</v>
      </c>
      <c r="I17" s="12">
        <v>1342</v>
      </c>
      <c r="J17" s="12">
        <v>2101</v>
      </c>
      <c r="K17" s="19">
        <f t="shared" si="0"/>
        <v>759</v>
      </c>
      <c r="M17" s="12">
        <v>1576</v>
      </c>
      <c r="N17" s="12">
        <v>3089</v>
      </c>
      <c r="O17" s="19">
        <f t="shared" si="5"/>
        <v>1513</v>
      </c>
      <c r="P17" s="13"/>
      <c r="Q17" s="12">
        <v>525</v>
      </c>
      <c r="R17" s="12">
        <v>1030</v>
      </c>
      <c r="S17" s="19">
        <f t="shared" si="2"/>
        <v>505</v>
      </c>
      <c r="T17" s="13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 x14ac:dyDescent="0.25">
      <c r="B18" s="14" t="s">
        <v>19</v>
      </c>
      <c r="C18" s="15">
        <f>SUM(C16:C17)</f>
        <v>779</v>
      </c>
      <c r="D18" s="15">
        <f t="shared" ref="D18:F18" si="9">SUM(D16:D17)</f>
        <v>1431.7039999999997</v>
      </c>
      <c r="E18" s="15">
        <f t="shared" si="9"/>
        <v>1938.4239999999991</v>
      </c>
      <c r="F18" s="15">
        <f t="shared" si="9"/>
        <v>3147</v>
      </c>
      <c r="G18" s="15">
        <f>SUM(G16:G17)+1</f>
        <v>4864</v>
      </c>
      <c r="H18" s="15">
        <f>SUM(H16:H17)</f>
        <v>4427</v>
      </c>
      <c r="I18" s="15">
        <f>SUM(I16:I17)</f>
        <v>4684</v>
      </c>
      <c r="J18" s="15">
        <f>SUM(J16:J17)</f>
        <v>7600</v>
      </c>
      <c r="K18" s="15">
        <f t="shared" si="0"/>
        <v>2916</v>
      </c>
      <c r="L18" s="16"/>
      <c r="M18" s="15">
        <f>SUM(M16:M17)</f>
        <v>5166</v>
      </c>
      <c r="N18" s="15">
        <f>SUM(N16:N17)</f>
        <v>10527</v>
      </c>
      <c r="O18" s="15">
        <f t="shared" si="5"/>
        <v>5361</v>
      </c>
      <c r="P18" s="13"/>
      <c r="Q18" s="15">
        <f>SUM(Q16:Q17)</f>
        <v>1828</v>
      </c>
      <c r="R18" s="15">
        <f>SUM(R16:R17)</f>
        <v>3812</v>
      </c>
      <c r="S18" s="15">
        <f t="shared" si="2"/>
        <v>1984</v>
      </c>
      <c r="T18" s="13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 x14ac:dyDescent="0.25">
      <c r="B19" s="18" t="s">
        <v>20</v>
      </c>
      <c r="C19" s="17" t="s">
        <v>2</v>
      </c>
      <c r="D19" s="19">
        <v>-332</v>
      </c>
      <c r="E19" s="17" t="s">
        <v>2</v>
      </c>
      <c r="F19" s="19">
        <v>-467</v>
      </c>
      <c r="G19" s="12">
        <v>-984</v>
      </c>
      <c r="H19" s="12">
        <v>230</v>
      </c>
      <c r="I19" s="12">
        <v>395</v>
      </c>
      <c r="J19" s="12" t="s">
        <v>2</v>
      </c>
      <c r="K19" s="19">
        <f>-I19</f>
        <v>-395</v>
      </c>
      <c r="M19" s="12" t="s">
        <v>2</v>
      </c>
      <c r="N19" s="12" t="s">
        <v>2</v>
      </c>
      <c r="O19" s="19" t="s">
        <v>2</v>
      </c>
      <c r="P19" s="13"/>
      <c r="Q19" s="12" t="s">
        <v>2</v>
      </c>
      <c r="R19" s="12" t="s">
        <v>2</v>
      </c>
      <c r="S19" s="12" t="s">
        <v>2</v>
      </c>
      <c r="T19" s="13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 x14ac:dyDescent="0.25">
      <c r="B20" s="18" t="s">
        <v>21</v>
      </c>
      <c r="C20" s="17" t="s">
        <v>2</v>
      </c>
      <c r="D20" s="17" t="s">
        <v>2</v>
      </c>
      <c r="E20" s="17" t="s">
        <v>2</v>
      </c>
      <c r="F20" s="17" t="s">
        <v>2</v>
      </c>
      <c r="G20" s="12">
        <v>107</v>
      </c>
      <c r="H20" s="17" t="s">
        <v>2</v>
      </c>
      <c r="I20" s="12" t="s">
        <v>2</v>
      </c>
      <c r="J20" s="12" t="s">
        <v>2</v>
      </c>
      <c r="K20" s="12" t="s">
        <v>2</v>
      </c>
      <c r="M20" s="12" t="s">
        <v>2</v>
      </c>
      <c r="N20" s="12" t="s">
        <v>2</v>
      </c>
      <c r="O20" s="12" t="s">
        <v>2</v>
      </c>
      <c r="P20" s="13"/>
      <c r="Q20" s="12" t="s">
        <v>2</v>
      </c>
      <c r="R20" s="12" t="s">
        <v>2</v>
      </c>
      <c r="S20" s="12" t="s">
        <v>2</v>
      </c>
      <c r="T20" s="13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x14ac:dyDescent="0.25">
      <c r="B21" s="18" t="s">
        <v>22</v>
      </c>
      <c r="C21" s="17" t="s">
        <v>2</v>
      </c>
      <c r="D21" s="17" t="s">
        <v>2</v>
      </c>
      <c r="E21" s="17" t="s">
        <v>2</v>
      </c>
      <c r="F21" s="19">
        <v>-115</v>
      </c>
      <c r="G21" s="12">
        <v>-142</v>
      </c>
      <c r="H21" s="12">
        <v>-48</v>
      </c>
      <c r="I21" s="12">
        <v>469</v>
      </c>
      <c r="J21" s="12">
        <v>-12</v>
      </c>
      <c r="K21" s="19">
        <f>J21-I21</f>
        <v>-481</v>
      </c>
      <c r="M21" s="12">
        <v>-12</v>
      </c>
      <c r="N21" s="12" t="s">
        <v>2</v>
      </c>
      <c r="O21" s="19">
        <f>-M21</f>
        <v>12</v>
      </c>
      <c r="P21" s="13"/>
      <c r="Q21" s="12" t="s">
        <v>2</v>
      </c>
      <c r="R21" s="12" t="s">
        <v>2</v>
      </c>
      <c r="S21" s="12" t="s">
        <v>2</v>
      </c>
      <c r="T21" s="13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x14ac:dyDescent="0.25">
      <c r="B22" s="18" t="s">
        <v>23</v>
      </c>
      <c r="C22" s="17" t="s">
        <v>2</v>
      </c>
      <c r="D22" s="17" t="s">
        <v>2</v>
      </c>
      <c r="E22" s="17" t="s">
        <v>2</v>
      </c>
      <c r="F22" s="17" t="s">
        <v>2</v>
      </c>
      <c r="G22" s="17" t="s">
        <v>2</v>
      </c>
      <c r="H22" s="17" t="s">
        <v>2</v>
      </c>
      <c r="I22" s="12">
        <v>60.7</v>
      </c>
      <c r="J22" s="12">
        <v>-94</v>
      </c>
      <c r="K22" s="19">
        <f t="shared" si="0"/>
        <v>-154.69999999999999</v>
      </c>
      <c r="M22" s="12" t="s">
        <v>2</v>
      </c>
      <c r="N22" s="12">
        <v>-76</v>
      </c>
      <c r="O22" s="19">
        <f>N22</f>
        <v>-76</v>
      </c>
      <c r="P22" s="13"/>
      <c r="Q22" s="12" t="s">
        <v>2</v>
      </c>
      <c r="R22" s="12">
        <v>-25</v>
      </c>
      <c r="S22" s="19">
        <f>R22</f>
        <v>-25</v>
      </c>
      <c r="T22" s="13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x14ac:dyDescent="0.25">
      <c r="B23" s="14" t="s">
        <v>24</v>
      </c>
      <c r="C23" s="15">
        <f t="shared" ref="C23:J23" si="10">SUM(C18:C22)</f>
        <v>779</v>
      </c>
      <c r="D23" s="15">
        <f t="shared" si="10"/>
        <v>1099.7039999999997</v>
      </c>
      <c r="E23" s="15">
        <f t="shared" si="10"/>
        <v>1938.4239999999991</v>
      </c>
      <c r="F23" s="15">
        <f t="shared" si="10"/>
        <v>2565</v>
      </c>
      <c r="G23" s="15">
        <f t="shared" si="10"/>
        <v>3845</v>
      </c>
      <c r="H23" s="15">
        <f t="shared" si="10"/>
        <v>4609</v>
      </c>
      <c r="I23" s="15">
        <f t="shared" si="10"/>
        <v>5608.7</v>
      </c>
      <c r="J23" s="15">
        <f t="shared" si="10"/>
        <v>7494</v>
      </c>
      <c r="K23" s="15">
        <f t="shared" si="0"/>
        <v>1885.3000000000002</v>
      </c>
      <c r="L23" s="16"/>
      <c r="M23" s="15">
        <f t="shared" ref="M23:N23" si="11">SUM(M18:M22)</f>
        <v>5154</v>
      </c>
      <c r="N23" s="15">
        <f t="shared" si="11"/>
        <v>10451</v>
      </c>
      <c r="O23" s="15">
        <f t="shared" ref="O23" si="12">N23-M23</f>
        <v>5297</v>
      </c>
      <c r="P23" s="20"/>
      <c r="Q23" s="15">
        <f t="shared" ref="Q23:R23" si="13">SUM(Q18:Q22)</f>
        <v>1828</v>
      </c>
      <c r="R23" s="15">
        <f t="shared" si="13"/>
        <v>3787</v>
      </c>
      <c r="S23" s="15">
        <f t="shared" si="2"/>
        <v>1959</v>
      </c>
      <c r="T23" s="20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 x14ac:dyDescent="0.25">
      <c r="B24" s="5"/>
      <c r="C24" s="21"/>
      <c r="D24" s="21"/>
      <c r="E24" s="21"/>
      <c r="F24" s="21"/>
      <c r="G24" s="21"/>
      <c r="H24" s="21"/>
      <c r="I24" s="21"/>
      <c r="J24" s="21"/>
      <c r="K24" s="21"/>
      <c r="M24" s="21"/>
      <c r="N24" s="21"/>
      <c r="O24" s="21"/>
      <c r="P24" s="13"/>
      <c r="Q24" s="21"/>
      <c r="R24" s="21"/>
      <c r="S24" s="21"/>
      <c r="T24" s="13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 x14ac:dyDescent="0.25">
      <c r="B25" s="14" t="s">
        <v>17</v>
      </c>
      <c r="C25" s="15">
        <f t="shared" ref="C25:J25" si="14">C16</f>
        <v>569</v>
      </c>
      <c r="D25" s="15">
        <f t="shared" si="14"/>
        <v>1231.7039999999997</v>
      </c>
      <c r="E25" s="15">
        <f t="shared" si="14"/>
        <v>1495.4239999999991</v>
      </c>
      <c r="F25" s="15">
        <f t="shared" si="14"/>
        <v>2555</v>
      </c>
      <c r="G25" s="15">
        <f t="shared" si="14"/>
        <v>4065</v>
      </c>
      <c r="H25" s="15">
        <f t="shared" si="14"/>
        <v>3369</v>
      </c>
      <c r="I25" s="15">
        <f t="shared" si="14"/>
        <v>3342</v>
      </c>
      <c r="J25" s="15">
        <f t="shared" si="14"/>
        <v>5499</v>
      </c>
      <c r="K25" s="15">
        <f t="shared" si="0"/>
        <v>2157</v>
      </c>
      <c r="L25" s="16"/>
      <c r="M25" s="15">
        <f t="shared" ref="M25:N25" si="15">M16</f>
        <v>3590</v>
      </c>
      <c r="N25" s="15">
        <f t="shared" si="15"/>
        <v>7438</v>
      </c>
      <c r="O25" s="15">
        <f t="shared" ref="O25:O48" si="16">N25-M25</f>
        <v>3848</v>
      </c>
      <c r="P25" s="13"/>
      <c r="Q25" s="15">
        <f t="shared" ref="Q25:R25" si="17">Q16</f>
        <v>1303</v>
      </c>
      <c r="R25" s="15">
        <f t="shared" si="17"/>
        <v>2782</v>
      </c>
      <c r="S25" s="15">
        <f t="shared" si="2"/>
        <v>1479</v>
      </c>
      <c r="T25" s="13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 x14ac:dyDescent="0.25">
      <c r="B26" s="11" t="s">
        <v>25</v>
      </c>
      <c r="C26" s="12">
        <f t="shared" ref="C26:H26" si="18">-C10</f>
        <v>-208.66300000000001</v>
      </c>
      <c r="D26" s="12">
        <f t="shared" si="18"/>
        <v>-219.4</v>
      </c>
      <c r="E26" s="12">
        <f t="shared" si="18"/>
        <v>-218</v>
      </c>
      <c r="F26" s="12">
        <f t="shared" si="18"/>
        <v>-235</v>
      </c>
      <c r="G26" s="12">
        <f t="shared" si="18"/>
        <v>-258</v>
      </c>
      <c r="H26" s="12">
        <f t="shared" si="18"/>
        <v>-373</v>
      </c>
      <c r="I26" s="12">
        <v>-444</v>
      </c>
      <c r="J26" s="12">
        <v>-473</v>
      </c>
      <c r="K26" s="12">
        <f t="shared" si="0"/>
        <v>-29</v>
      </c>
      <c r="M26" s="12">
        <v>-342</v>
      </c>
      <c r="N26" s="12">
        <f>-N10</f>
        <v>-404</v>
      </c>
      <c r="O26" s="12">
        <f t="shared" si="16"/>
        <v>-62</v>
      </c>
      <c r="P26" s="13"/>
      <c r="Q26" s="12">
        <v>-123</v>
      </c>
      <c r="R26" s="12">
        <v>-141</v>
      </c>
      <c r="S26" s="12">
        <f t="shared" si="2"/>
        <v>-18</v>
      </c>
      <c r="T26" s="13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 x14ac:dyDescent="0.25">
      <c r="B27" s="11" t="s">
        <v>12</v>
      </c>
      <c r="C27" s="17" t="s">
        <v>2</v>
      </c>
      <c r="D27" s="17" t="s">
        <v>2</v>
      </c>
      <c r="E27" s="17" t="s">
        <v>2</v>
      </c>
      <c r="F27" s="17" t="s">
        <v>2</v>
      </c>
      <c r="G27" s="12">
        <f>-G11</f>
        <v>-753</v>
      </c>
      <c r="H27" s="17" t="s">
        <v>2</v>
      </c>
      <c r="I27" s="17" t="s">
        <v>2</v>
      </c>
      <c r="J27" s="12" t="s">
        <v>2</v>
      </c>
      <c r="K27" s="17" t="s">
        <v>2</v>
      </c>
      <c r="M27" s="17" t="s">
        <v>2</v>
      </c>
      <c r="N27" s="12" t="s">
        <v>2</v>
      </c>
      <c r="O27" s="12" t="s">
        <v>2</v>
      </c>
      <c r="P27" s="13"/>
      <c r="Q27" s="12" t="s">
        <v>2</v>
      </c>
      <c r="R27" s="12" t="s">
        <v>2</v>
      </c>
      <c r="S27" s="12" t="s">
        <v>2</v>
      </c>
      <c r="T27" s="13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x14ac:dyDescent="0.25">
      <c r="B28" s="11" t="s">
        <v>13</v>
      </c>
      <c r="C28" s="12">
        <f>-C12</f>
        <v>-16</v>
      </c>
      <c r="D28" s="12">
        <f>-D12</f>
        <v>60</v>
      </c>
      <c r="E28" s="12">
        <f>-E12</f>
        <v>16</v>
      </c>
      <c r="F28" s="17" t="s">
        <v>2</v>
      </c>
      <c r="G28" s="17" t="s">
        <v>2</v>
      </c>
      <c r="H28" s="17" t="s">
        <v>2</v>
      </c>
      <c r="I28" s="17" t="s">
        <v>2</v>
      </c>
      <c r="J28" s="12" t="s">
        <v>2</v>
      </c>
      <c r="K28" s="17" t="s">
        <v>2</v>
      </c>
      <c r="M28" s="17" t="s">
        <v>2</v>
      </c>
      <c r="N28" s="17" t="s">
        <v>2</v>
      </c>
      <c r="O28" s="12" t="s">
        <v>2</v>
      </c>
      <c r="P28" s="13"/>
      <c r="Q28" s="12" t="s">
        <v>2</v>
      </c>
      <c r="R28" s="12" t="s">
        <v>2</v>
      </c>
      <c r="S28" s="12" t="s">
        <v>2</v>
      </c>
      <c r="T28" s="13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x14ac:dyDescent="0.25">
      <c r="B29" s="11" t="s">
        <v>26</v>
      </c>
      <c r="C29" s="12">
        <f t="shared" ref="C29:G29" si="19">C30+C33+C35+C37</f>
        <v>-608.46</v>
      </c>
      <c r="D29" s="12">
        <f t="shared" si="19"/>
        <v>-609.69000000000005</v>
      </c>
      <c r="E29" s="12">
        <f t="shared" si="19"/>
        <v>-779.56</v>
      </c>
      <c r="F29" s="12">
        <f t="shared" si="19"/>
        <v>-1036</v>
      </c>
      <c r="G29" s="12">
        <f t="shared" si="19"/>
        <v>-1732</v>
      </c>
      <c r="H29" s="12">
        <f>H30+H33+H35+H37+H36</f>
        <v>-1604</v>
      </c>
      <c r="I29" s="12">
        <f>I30+I33+I35+I37+I36</f>
        <v>-1485</v>
      </c>
      <c r="J29" s="12">
        <f>J30+J33+J35+J37+J36</f>
        <v>-1883</v>
      </c>
      <c r="K29" s="12">
        <f t="shared" si="0"/>
        <v>-398</v>
      </c>
      <c r="M29" s="12">
        <f>M30+M33+M35+M37+M36</f>
        <v>-1233</v>
      </c>
      <c r="N29" s="12">
        <f>N30+N33+N35+N37+N36</f>
        <v>-3770</v>
      </c>
      <c r="O29" s="12">
        <f t="shared" si="16"/>
        <v>-2537</v>
      </c>
      <c r="P29" s="13"/>
      <c r="Q29" s="12">
        <f>Q30+Q33+Q35+Q37+Q36</f>
        <v>-452</v>
      </c>
      <c r="R29" s="12">
        <f>R30+R33+R35+R37+R36</f>
        <v>-1041</v>
      </c>
      <c r="S29" s="12">
        <f t="shared" si="2"/>
        <v>-589</v>
      </c>
      <c r="T29" s="13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2:30" x14ac:dyDescent="0.25">
      <c r="B30" s="22" t="s">
        <v>27</v>
      </c>
      <c r="C30" s="12">
        <v>-517.46</v>
      </c>
      <c r="D30" s="12">
        <v>-526.69000000000005</v>
      </c>
      <c r="E30" s="12">
        <v>-725.56</v>
      </c>
      <c r="F30" s="12">
        <v>-863</v>
      </c>
      <c r="G30" s="12">
        <v>-1159</v>
      </c>
      <c r="H30" s="12">
        <v>-1375</v>
      </c>
      <c r="I30" s="12">
        <v>-974</v>
      </c>
      <c r="J30" s="12">
        <v>-1219</v>
      </c>
      <c r="K30" s="12">
        <f t="shared" si="0"/>
        <v>-245</v>
      </c>
      <c r="M30" s="12">
        <v>-752</v>
      </c>
      <c r="N30" s="12">
        <v>-2254</v>
      </c>
      <c r="O30" s="12">
        <f t="shared" si="16"/>
        <v>-1502</v>
      </c>
      <c r="P30" s="13"/>
      <c r="Q30" s="12">
        <v>-283</v>
      </c>
      <c r="R30" s="12">
        <v>-929</v>
      </c>
      <c r="S30" s="12">
        <f t="shared" si="2"/>
        <v>-646</v>
      </c>
      <c r="T30" s="13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2:30" x14ac:dyDescent="0.25">
      <c r="B31" s="22" t="s">
        <v>28</v>
      </c>
      <c r="C31" s="12"/>
      <c r="D31" s="81">
        <v>9.7315847766867095E-2</v>
      </c>
      <c r="E31" s="81">
        <v>0.12236587152326026</v>
      </c>
      <c r="F31" s="81">
        <v>0.128</v>
      </c>
      <c r="G31" s="81">
        <v>0.17078241062162658</v>
      </c>
      <c r="H31" s="81">
        <v>0.18125985532402955</v>
      </c>
      <c r="I31" s="81">
        <v>0.11871214887008945</v>
      </c>
      <c r="J31" s="81">
        <v>0.1596249825235474</v>
      </c>
      <c r="K31" s="81">
        <f t="shared" si="0"/>
        <v>4.091283365345795E-2</v>
      </c>
      <c r="L31" s="82"/>
      <c r="M31" s="81">
        <v>0.12798632310710553</v>
      </c>
      <c r="N31" s="81">
        <v>0.2797206952421617</v>
      </c>
      <c r="O31" s="81">
        <f t="shared" si="16"/>
        <v>0.15173437213505617</v>
      </c>
      <c r="P31" s="83"/>
      <c r="Q31" s="81">
        <v>0.14018934788206497</v>
      </c>
      <c r="R31" s="81">
        <v>0.31795134604287362</v>
      </c>
      <c r="S31" s="81">
        <f t="shared" si="2"/>
        <v>0.17776199816080865</v>
      </c>
      <c r="T31" s="13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0" ht="30" x14ac:dyDescent="0.25">
      <c r="B32" s="23" t="s">
        <v>29</v>
      </c>
      <c r="C32" s="12"/>
      <c r="D32" s="84" t="s">
        <v>2</v>
      </c>
      <c r="E32" s="84" t="s">
        <v>2</v>
      </c>
      <c r="F32" s="84" t="s">
        <v>2</v>
      </c>
      <c r="G32" s="84" t="s">
        <v>2</v>
      </c>
      <c r="H32" s="84" t="s">
        <v>2</v>
      </c>
      <c r="I32" s="81">
        <v>0.11530131077969805</v>
      </c>
      <c r="J32" s="81">
        <v>0.12531674181709176</v>
      </c>
      <c r="K32" s="81">
        <f t="shared" si="0"/>
        <v>1.0015431037393718E-2</v>
      </c>
      <c r="L32" s="82"/>
      <c r="M32" s="81">
        <v>0.12033645647713127</v>
      </c>
      <c r="N32" s="81">
        <v>0.24859485757347485</v>
      </c>
      <c r="O32" s="81">
        <f t="shared" si="16"/>
        <v>0.12825840109634357</v>
      </c>
      <c r="P32" s="83"/>
      <c r="Q32" s="81">
        <v>0.13771250427990836</v>
      </c>
      <c r="R32" s="81">
        <v>0.28783324221965201</v>
      </c>
      <c r="S32" s="81">
        <f t="shared" si="2"/>
        <v>0.15012073793974365</v>
      </c>
      <c r="T32" s="13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x14ac:dyDescent="0.25">
      <c r="B33" s="22" t="s">
        <v>30</v>
      </c>
      <c r="C33" s="12">
        <v>-39</v>
      </c>
      <c r="D33" s="12">
        <v>-37</v>
      </c>
      <c r="E33" s="12">
        <v>-24</v>
      </c>
      <c r="F33" s="12">
        <v>-138</v>
      </c>
      <c r="G33" s="12">
        <v>-435</v>
      </c>
      <c r="H33" s="12">
        <v>-212</v>
      </c>
      <c r="I33" s="12">
        <v>-245</v>
      </c>
      <c r="J33" s="12">
        <v>-344</v>
      </c>
      <c r="K33" s="12">
        <f t="shared" si="0"/>
        <v>-99</v>
      </c>
      <c r="M33" s="12">
        <v>-243</v>
      </c>
      <c r="N33" s="12">
        <v>-767</v>
      </c>
      <c r="O33" s="12">
        <f t="shared" si="16"/>
        <v>-524</v>
      </c>
      <c r="P33" s="13"/>
      <c r="Q33" s="12">
        <v>-81</v>
      </c>
      <c r="R33" s="12">
        <v>-107</v>
      </c>
      <c r="S33" s="12">
        <f t="shared" si="2"/>
        <v>-26</v>
      </c>
      <c r="T33" s="13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x14ac:dyDescent="0.25">
      <c r="B34" s="22" t="s">
        <v>31</v>
      </c>
      <c r="C34" s="12"/>
      <c r="D34" s="81">
        <v>0.10271374038139168</v>
      </c>
      <c r="E34" s="81">
        <v>6.7310452411078053E-2</v>
      </c>
      <c r="F34" s="81">
        <v>0.15222580413129241</v>
      </c>
      <c r="G34" s="81">
        <v>0.28209196038237444</v>
      </c>
      <c r="H34" s="81">
        <v>0.12853092515001147</v>
      </c>
      <c r="I34" s="81">
        <v>0.16164531217233705</v>
      </c>
      <c r="J34" s="81">
        <v>0.21313576905767162</v>
      </c>
      <c r="K34" s="81">
        <f t="shared" si="0"/>
        <v>5.1490456885334573E-2</v>
      </c>
      <c r="L34" s="82"/>
      <c r="M34" s="81">
        <v>0.22244481046118134</v>
      </c>
      <c r="N34" s="81">
        <v>0.46728437355336316</v>
      </c>
      <c r="O34" s="81">
        <f t="shared" si="16"/>
        <v>0.24483956309218183</v>
      </c>
      <c r="P34" s="83"/>
      <c r="Q34" s="81">
        <v>0.22623771186521452</v>
      </c>
      <c r="R34" s="81">
        <v>0.2192501561110933</v>
      </c>
      <c r="S34" s="81">
        <f t="shared" si="2"/>
        <v>-6.9875557541212163E-3</v>
      </c>
      <c r="T34" s="13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x14ac:dyDescent="0.25">
      <c r="B35" s="22" t="s">
        <v>32</v>
      </c>
      <c r="C35" s="12">
        <v>-43</v>
      </c>
      <c r="D35" s="12">
        <v>-36</v>
      </c>
      <c r="E35" s="12">
        <v>-40</v>
      </c>
      <c r="F35" s="12">
        <v>-79</v>
      </c>
      <c r="G35" s="12">
        <v>-243</v>
      </c>
      <c r="H35" s="12">
        <v>-114</v>
      </c>
      <c r="I35" s="12">
        <v>-162</v>
      </c>
      <c r="J35" s="12">
        <v>-306</v>
      </c>
      <c r="K35" s="12">
        <f t="shared" si="0"/>
        <v>-144</v>
      </c>
      <c r="M35" s="12">
        <v>-222</v>
      </c>
      <c r="N35" s="12">
        <v>-1389</v>
      </c>
      <c r="O35" s="12">
        <f t="shared" si="16"/>
        <v>-1167</v>
      </c>
      <c r="P35" s="13"/>
      <c r="Q35" s="12">
        <v>-80</v>
      </c>
      <c r="R35" s="12">
        <v>-315</v>
      </c>
      <c r="S35" s="12">
        <f t="shared" si="2"/>
        <v>-235</v>
      </c>
      <c r="T35" s="13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 x14ac:dyDescent="0.25">
      <c r="B36" s="22" t="s">
        <v>33</v>
      </c>
      <c r="C36" s="17" t="s">
        <v>2</v>
      </c>
      <c r="D36" s="17" t="s">
        <v>2</v>
      </c>
      <c r="E36" s="17" t="s">
        <v>2</v>
      </c>
      <c r="F36" s="17" t="s">
        <v>2</v>
      </c>
      <c r="G36" s="17" t="s">
        <v>2</v>
      </c>
      <c r="H36" s="17">
        <v>-36</v>
      </c>
      <c r="I36" s="17">
        <v>-31</v>
      </c>
      <c r="J36" s="12">
        <v>-45</v>
      </c>
      <c r="K36" s="12">
        <f t="shared" si="0"/>
        <v>-14</v>
      </c>
      <c r="M36" s="17">
        <v>-32</v>
      </c>
      <c r="N36" s="12">
        <v>-49</v>
      </c>
      <c r="O36" s="12">
        <f t="shared" si="16"/>
        <v>-17</v>
      </c>
      <c r="P36" s="13"/>
      <c r="Q36" s="17">
        <v>-14</v>
      </c>
      <c r="R36" s="12">
        <v>-19</v>
      </c>
      <c r="S36" s="12">
        <f t="shared" si="2"/>
        <v>-5</v>
      </c>
      <c r="T36" s="13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x14ac:dyDescent="0.25">
      <c r="B37" s="22" t="s">
        <v>34</v>
      </c>
      <c r="C37" s="12">
        <v>-9</v>
      </c>
      <c r="D37" s="12">
        <v>-10</v>
      </c>
      <c r="E37" s="12">
        <v>10</v>
      </c>
      <c r="F37" s="12">
        <v>44</v>
      </c>
      <c r="G37" s="12">
        <v>105</v>
      </c>
      <c r="H37" s="12">
        <v>133</v>
      </c>
      <c r="I37" s="12">
        <v>-73</v>
      </c>
      <c r="J37" s="12">
        <v>31</v>
      </c>
      <c r="K37" s="12">
        <f t="shared" si="0"/>
        <v>104</v>
      </c>
      <c r="M37" s="12">
        <v>16</v>
      </c>
      <c r="N37" s="12">
        <v>689</v>
      </c>
      <c r="O37" s="12">
        <f t="shared" si="16"/>
        <v>673</v>
      </c>
      <c r="P37" s="13"/>
      <c r="Q37" s="12">
        <v>6</v>
      </c>
      <c r="R37" s="12">
        <v>329</v>
      </c>
      <c r="S37" s="12">
        <f t="shared" si="2"/>
        <v>323</v>
      </c>
      <c r="T37" s="13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2:30" x14ac:dyDescent="0.25">
      <c r="B38" s="11" t="s">
        <v>35</v>
      </c>
      <c r="C38" s="12">
        <v>-13</v>
      </c>
      <c r="D38" s="12">
        <v>-127</v>
      </c>
      <c r="E38" s="12">
        <v>-137</v>
      </c>
      <c r="F38" s="12">
        <v>-296</v>
      </c>
      <c r="G38" s="12">
        <v>-574</v>
      </c>
      <c r="H38" s="12">
        <v>-358</v>
      </c>
      <c r="I38" s="12">
        <v>-325</v>
      </c>
      <c r="J38" s="12">
        <v>-861</v>
      </c>
      <c r="K38" s="12">
        <f t="shared" si="0"/>
        <v>-536</v>
      </c>
      <c r="M38" s="12">
        <v>-511</v>
      </c>
      <c r="N38" s="12">
        <v>-888</v>
      </c>
      <c r="O38" s="12">
        <f t="shared" si="16"/>
        <v>-377</v>
      </c>
      <c r="P38" s="13"/>
      <c r="Q38" s="12">
        <v>-194</v>
      </c>
      <c r="R38" s="12">
        <v>-399</v>
      </c>
      <c r="S38" s="12">
        <f t="shared" si="2"/>
        <v>-205</v>
      </c>
      <c r="T38" s="13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2:30" x14ac:dyDescent="0.25">
      <c r="B39" s="14" t="s">
        <v>36</v>
      </c>
      <c r="C39" s="15">
        <f t="shared" ref="C39:H39" si="20">SUM(C25:C29,C38)</f>
        <v>-277.12300000000005</v>
      </c>
      <c r="D39" s="15">
        <f t="shared" si="20"/>
        <v>335.61399999999958</v>
      </c>
      <c r="E39" s="15">
        <f t="shared" si="20"/>
        <v>376.86399999999912</v>
      </c>
      <c r="F39" s="15">
        <f t="shared" si="20"/>
        <v>988</v>
      </c>
      <c r="G39" s="15">
        <f t="shared" si="20"/>
        <v>748</v>
      </c>
      <c r="H39" s="15">
        <f t="shared" si="20"/>
        <v>1034</v>
      </c>
      <c r="I39" s="15">
        <f>SUM(I25:I29,I38)</f>
        <v>1088</v>
      </c>
      <c r="J39" s="15">
        <f>SUM(J25:J29,J38)</f>
        <v>2282</v>
      </c>
      <c r="K39" s="15">
        <f t="shared" si="0"/>
        <v>1194</v>
      </c>
      <c r="L39" s="16"/>
      <c r="M39" s="15">
        <f>SUM(M25:M29,M38)</f>
        <v>1504</v>
      </c>
      <c r="N39" s="15">
        <f>SUM(N25:N29,N38)</f>
        <v>2376</v>
      </c>
      <c r="O39" s="15">
        <f t="shared" si="16"/>
        <v>872</v>
      </c>
      <c r="P39" s="13"/>
      <c r="Q39" s="15">
        <f>SUM(Q25:Q29,Q38)</f>
        <v>534</v>
      </c>
      <c r="R39" s="15">
        <f>SUM(R25:R29,R38)</f>
        <v>1201</v>
      </c>
      <c r="S39" s="15">
        <f t="shared" si="2"/>
        <v>667</v>
      </c>
      <c r="T39" s="13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2:30" x14ac:dyDescent="0.25">
      <c r="B40" s="18" t="s">
        <v>20</v>
      </c>
      <c r="C40" s="17" t="s">
        <v>2</v>
      </c>
      <c r="D40" s="19">
        <v>-266</v>
      </c>
      <c r="E40" s="17" t="s">
        <v>2</v>
      </c>
      <c r="F40" s="19">
        <v>-373.6</v>
      </c>
      <c r="G40" s="19">
        <v>-768</v>
      </c>
      <c r="H40" s="19">
        <v>179</v>
      </c>
      <c r="I40" s="12">
        <v>308</v>
      </c>
      <c r="J40" s="12" t="s">
        <v>2</v>
      </c>
      <c r="K40" s="19">
        <f>-I40</f>
        <v>-308</v>
      </c>
      <c r="M40" s="12" t="s">
        <v>2</v>
      </c>
      <c r="N40" s="12" t="s">
        <v>2</v>
      </c>
      <c r="O40" s="12" t="s">
        <v>2</v>
      </c>
      <c r="P40" s="13"/>
      <c r="Q40" s="12" t="s">
        <v>2</v>
      </c>
      <c r="R40" s="12" t="s">
        <v>2</v>
      </c>
      <c r="S40" s="12" t="s">
        <v>2</v>
      </c>
      <c r="T40" s="13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2:30" x14ac:dyDescent="0.25">
      <c r="B41" s="18" t="s">
        <v>21</v>
      </c>
      <c r="C41" s="17" t="s">
        <v>2</v>
      </c>
      <c r="D41" s="17" t="s">
        <v>2</v>
      </c>
      <c r="E41" s="17" t="s">
        <v>2</v>
      </c>
      <c r="F41" s="17" t="s">
        <v>2</v>
      </c>
      <c r="G41" s="19">
        <v>107</v>
      </c>
      <c r="H41" s="17" t="s">
        <v>2</v>
      </c>
      <c r="I41" s="12" t="s">
        <v>2</v>
      </c>
      <c r="J41" s="12" t="s">
        <v>2</v>
      </c>
      <c r="K41" s="12" t="s">
        <v>2</v>
      </c>
      <c r="M41" s="12" t="s">
        <v>2</v>
      </c>
      <c r="N41" s="12" t="s">
        <v>2</v>
      </c>
      <c r="O41" s="12" t="s">
        <v>2</v>
      </c>
      <c r="P41" s="13"/>
      <c r="Q41" s="12" t="s">
        <v>2</v>
      </c>
      <c r="R41" s="12" t="s">
        <v>2</v>
      </c>
      <c r="S41" s="12" t="s">
        <v>2</v>
      </c>
      <c r="T41" s="13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2:30" x14ac:dyDescent="0.25">
      <c r="B42" s="18" t="s">
        <v>37</v>
      </c>
      <c r="C42" s="17" t="s">
        <v>2</v>
      </c>
      <c r="D42" s="17" t="s">
        <v>2</v>
      </c>
      <c r="E42" s="17" t="s">
        <v>2</v>
      </c>
      <c r="F42" s="17" t="s">
        <v>2</v>
      </c>
      <c r="G42" s="19">
        <v>753</v>
      </c>
      <c r="H42" s="17" t="s">
        <v>2</v>
      </c>
      <c r="I42" s="12" t="s">
        <v>2</v>
      </c>
      <c r="J42" s="12" t="s">
        <v>2</v>
      </c>
      <c r="K42" s="12" t="s">
        <v>2</v>
      </c>
      <c r="M42" s="12" t="s">
        <v>2</v>
      </c>
      <c r="N42" s="12" t="s">
        <v>2</v>
      </c>
      <c r="O42" s="12" t="s">
        <v>2</v>
      </c>
      <c r="P42" s="13"/>
      <c r="Q42" s="12" t="s">
        <v>2</v>
      </c>
      <c r="R42" s="12" t="s">
        <v>2</v>
      </c>
      <c r="S42" s="12" t="s">
        <v>2</v>
      </c>
      <c r="T42" s="13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2:30" x14ac:dyDescent="0.25">
      <c r="B43" s="18" t="s">
        <v>22</v>
      </c>
      <c r="C43" s="17" t="s">
        <v>2</v>
      </c>
      <c r="D43" s="17" t="s">
        <v>2</v>
      </c>
      <c r="E43" s="17" t="s">
        <v>2</v>
      </c>
      <c r="F43" s="19">
        <v>-92</v>
      </c>
      <c r="G43" s="19">
        <v>-110</v>
      </c>
      <c r="H43" s="19">
        <v>-38</v>
      </c>
      <c r="I43" s="12">
        <v>366</v>
      </c>
      <c r="J43" s="12">
        <v>-10</v>
      </c>
      <c r="K43" s="19">
        <f t="shared" si="0"/>
        <v>-376</v>
      </c>
      <c r="M43" s="12">
        <v>-10</v>
      </c>
      <c r="N43" s="12" t="s">
        <v>2</v>
      </c>
      <c r="O43" s="19">
        <f>-M43</f>
        <v>10</v>
      </c>
      <c r="P43" s="13"/>
      <c r="Q43" s="12" t="s">
        <v>2</v>
      </c>
      <c r="R43" s="12" t="s">
        <v>2</v>
      </c>
      <c r="S43" s="12" t="s">
        <v>2</v>
      </c>
      <c r="T43" s="13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2:30" x14ac:dyDescent="0.25">
      <c r="B44" s="18" t="s">
        <v>23</v>
      </c>
      <c r="C44" s="17" t="s">
        <v>2</v>
      </c>
      <c r="D44" s="17" t="s">
        <v>2</v>
      </c>
      <c r="E44" s="17" t="s">
        <v>2</v>
      </c>
      <c r="F44" s="17" t="s">
        <v>2</v>
      </c>
      <c r="G44" s="17" t="s">
        <v>2</v>
      </c>
      <c r="H44" s="17" t="s">
        <v>2</v>
      </c>
      <c r="I44" s="12">
        <v>50</v>
      </c>
      <c r="J44" s="12">
        <v>-75</v>
      </c>
      <c r="K44" s="19">
        <f t="shared" si="0"/>
        <v>-125</v>
      </c>
      <c r="M44" s="12" t="s">
        <v>2</v>
      </c>
      <c r="N44" s="12">
        <v>-61</v>
      </c>
      <c r="O44" s="19">
        <f>N44</f>
        <v>-61</v>
      </c>
      <c r="P44" s="13"/>
      <c r="Q44" s="12" t="s">
        <v>2</v>
      </c>
      <c r="R44" s="12">
        <v>-20</v>
      </c>
      <c r="S44" s="19">
        <f>R44</f>
        <v>-20</v>
      </c>
      <c r="T44" s="13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2:30" x14ac:dyDescent="0.25">
      <c r="B45" s="18" t="s">
        <v>38</v>
      </c>
      <c r="C45" s="17"/>
      <c r="D45" s="17"/>
      <c r="E45" s="17"/>
      <c r="F45" s="17"/>
      <c r="G45" s="17"/>
      <c r="H45" s="17"/>
      <c r="I45" s="12"/>
      <c r="J45" s="12">
        <v>218</v>
      </c>
      <c r="K45" s="17">
        <f t="shared" si="0"/>
        <v>218</v>
      </c>
      <c r="M45" s="12">
        <v>103</v>
      </c>
      <c r="N45" s="12">
        <v>221.01400000000001</v>
      </c>
      <c r="O45" s="12">
        <f t="shared" si="16"/>
        <v>118.01400000000001</v>
      </c>
      <c r="P45" s="13"/>
      <c r="Q45" s="12">
        <v>50</v>
      </c>
      <c r="R45" s="12">
        <v>78.691000000000031</v>
      </c>
      <c r="S45" s="12">
        <f t="shared" si="2"/>
        <v>28.691000000000031</v>
      </c>
      <c r="T45" s="13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2:30" x14ac:dyDescent="0.25">
      <c r="B46" s="79" t="s">
        <v>39</v>
      </c>
      <c r="C46" s="17" t="s">
        <v>2</v>
      </c>
      <c r="D46" s="17" t="s">
        <v>2</v>
      </c>
      <c r="E46" s="17" t="s">
        <v>2</v>
      </c>
      <c r="F46" s="17" t="s">
        <v>2</v>
      </c>
      <c r="G46" s="17" t="s">
        <v>2</v>
      </c>
      <c r="H46" s="17" t="s">
        <v>2</v>
      </c>
      <c r="I46" s="12">
        <v>66</v>
      </c>
      <c r="J46" s="12" t="s">
        <v>2</v>
      </c>
      <c r="K46" s="17">
        <f>-I46</f>
        <v>-66</v>
      </c>
      <c r="M46" s="12" t="s">
        <v>2</v>
      </c>
      <c r="N46" s="12" t="s">
        <v>2</v>
      </c>
      <c r="O46" s="12" t="s">
        <v>2</v>
      </c>
      <c r="P46" s="13"/>
      <c r="Q46" s="12" t="s">
        <v>2</v>
      </c>
      <c r="R46" s="12" t="s">
        <v>2</v>
      </c>
      <c r="S46" s="12" t="s">
        <v>2</v>
      </c>
      <c r="T46" s="13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2:30" x14ac:dyDescent="0.25">
      <c r="B47" s="14" t="s">
        <v>40</v>
      </c>
      <c r="C47" s="15">
        <f t="shared" ref="C47:J47" si="21">SUM(C39:C46)</f>
        <v>-277.12300000000005</v>
      </c>
      <c r="D47" s="15">
        <f t="shared" si="21"/>
        <v>69.613999999999578</v>
      </c>
      <c r="E47" s="15">
        <f t="shared" si="21"/>
        <v>376.86399999999912</v>
      </c>
      <c r="F47" s="15">
        <f t="shared" si="21"/>
        <v>522.4</v>
      </c>
      <c r="G47" s="15">
        <f t="shared" si="21"/>
        <v>730</v>
      </c>
      <c r="H47" s="15">
        <f t="shared" si="21"/>
        <v>1175</v>
      </c>
      <c r="I47" s="15">
        <f t="shared" si="21"/>
        <v>1878</v>
      </c>
      <c r="J47" s="15">
        <f t="shared" si="21"/>
        <v>2415</v>
      </c>
      <c r="K47" s="15">
        <f t="shared" si="0"/>
        <v>537</v>
      </c>
      <c r="L47" s="16"/>
      <c r="M47" s="15">
        <f t="shared" ref="M47:N47" si="22">SUM(M39:M46)</f>
        <v>1597</v>
      </c>
      <c r="N47" s="15">
        <f t="shared" si="22"/>
        <v>2536.0140000000001</v>
      </c>
      <c r="O47" s="15">
        <f t="shared" si="16"/>
        <v>939.01400000000012</v>
      </c>
      <c r="P47" s="20"/>
      <c r="Q47" s="15">
        <f t="shared" ref="Q47:R47" si="23">SUM(Q39:Q46)</f>
        <v>584</v>
      </c>
      <c r="R47" s="15">
        <f t="shared" si="23"/>
        <v>1259.691</v>
      </c>
      <c r="S47" s="15">
        <f t="shared" si="2"/>
        <v>675.69100000000003</v>
      </c>
      <c r="T47" s="20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2:30" x14ac:dyDescent="0.25">
      <c r="B48" s="11" t="s">
        <v>41</v>
      </c>
      <c r="C48" s="24">
        <f t="shared" ref="C48:F48" si="24">C47*1000000/118106896712*100</f>
        <v>-0.23463744092417899</v>
      </c>
      <c r="D48" s="24">
        <f t="shared" si="24"/>
        <v>5.894151987563534E-2</v>
      </c>
      <c r="E48" s="24">
        <f t="shared" si="24"/>
        <v>0.31908720869956497</v>
      </c>
      <c r="F48" s="24">
        <f t="shared" si="24"/>
        <v>0.442311172796163</v>
      </c>
      <c r="G48" s="25">
        <f>G47*1000000/118106896712*100</f>
        <v>0.61808414268989076</v>
      </c>
      <c r="H48" s="25">
        <f>H47*1000000/118106896712*100</f>
        <v>0.99486146254879682</v>
      </c>
      <c r="I48" s="25">
        <f>I47*1000000/118106896712*100</f>
        <v>1.5900849588652257</v>
      </c>
      <c r="J48" s="25">
        <f>J47*1000000/118106896712*100</f>
        <v>2.0447578145151866</v>
      </c>
      <c r="K48" s="24">
        <f t="shared" si="0"/>
        <v>0.45467285564996085</v>
      </c>
      <c r="M48" s="25">
        <f>M47*1000000/118106896712*100</f>
        <v>1.352164898459939</v>
      </c>
      <c r="N48" s="25">
        <f>N47*1000000/118106896712*100</f>
        <v>2.1472192315610421</v>
      </c>
      <c r="O48" s="24">
        <f t="shared" si="16"/>
        <v>0.79505433310110307</v>
      </c>
      <c r="Q48" s="25">
        <v>0.49446731415191264</v>
      </c>
      <c r="R48" s="25">
        <v>1.0665685366974949</v>
      </c>
      <c r="S48" s="24">
        <f t="shared" si="2"/>
        <v>0.57210122254558216</v>
      </c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2:30" x14ac:dyDescent="0.25">
      <c r="B49" s="11" t="s">
        <v>42</v>
      </c>
      <c r="C49" s="26" t="s">
        <v>2</v>
      </c>
      <c r="D49" s="26" t="s">
        <v>2</v>
      </c>
      <c r="E49" s="26" t="s">
        <v>2</v>
      </c>
      <c r="F49" s="81">
        <v>0.68</v>
      </c>
      <c r="G49" s="81">
        <v>0.64740941731074941</v>
      </c>
      <c r="H49" s="81">
        <v>0.60309906382978717</v>
      </c>
      <c r="I49" s="81">
        <f>I50/I47</f>
        <v>0.60383386581469645</v>
      </c>
      <c r="J49" s="81">
        <v>0.60642878643014497</v>
      </c>
      <c r="K49" s="81">
        <f t="shared" si="0"/>
        <v>2.594920615448526E-3</v>
      </c>
      <c r="M49" s="17" t="s">
        <v>2</v>
      </c>
      <c r="N49" s="17" t="s">
        <v>2</v>
      </c>
      <c r="O49" s="12" t="s">
        <v>2</v>
      </c>
      <c r="P49" s="13"/>
      <c r="Q49" s="17" t="s">
        <v>2</v>
      </c>
      <c r="R49" s="17" t="s">
        <v>2</v>
      </c>
      <c r="S49" s="17" t="s">
        <v>2</v>
      </c>
      <c r="T49" s="13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2:30" x14ac:dyDescent="0.25">
      <c r="B50" s="11" t="s">
        <v>43</v>
      </c>
      <c r="C50" s="26" t="s">
        <v>2</v>
      </c>
      <c r="D50" s="26" t="s">
        <v>2</v>
      </c>
      <c r="E50" s="26" t="s">
        <v>2</v>
      </c>
      <c r="F50" s="12">
        <v>354.23200000000003</v>
      </c>
      <c r="G50" s="12">
        <v>471.60887463684708</v>
      </c>
      <c r="H50" s="12">
        <v>708.64139999999998</v>
      </c>
      <c r="I50" s="12">
        <v>1134</v>
      </c>
      <c r="J50" s="12">
        <v>1465</v>
      </c>
      <c r="K50" s="12">
        <f t="shared" si="0"/>
        <v>331</v>
      </c>
      <c r="M50" s="17" t="s">
        <v>2</v>
      </c>
      <c r="N50" s="17" t="s">
        <v>2</v>
      </c>
      <c r="O50" s="12" t="s">
        <v>2</v>
      </c>
      <c r="P50" s="13"/>
      <c r="Q50" s="17" t="s">
        <v>2</v>
      </c>
      <c r="R50" s="17" t="s">
        <v>2</v>
      </c>
      <c r="S50" s="17" t="s">
        <v>2</v>
      </c>
      <c r="T50" s="13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2:30" x14ac:dyDescent="0.25">
      <c r="B51" s="11" t="s">
        <v>44</v>
      </c>
      <c r="C51" s="26" t="s">
        <v>2</v>
      </c>
      <c r="D51" s="26" t="s">
        <v>2</v>
      </c>
      <c r="E51" s="26" t="s">
        <v>2</v>
      </c>
      <c r="F51" s="25">
        <f>F50*1000000/118106896712*100</f>
        <v>0.29992490689496631</v>
      </c>
      <c r="G51" s="25">
        <f>G50*1000000/118106896712*100</f>
        <v>0.39930680406145175</v>
      </c>
      <c r="H51" s="25">
        <f>H50*1000000/118106896712*100</f>
        <v>0.60000001670351233</v>
      </c>
      <c r="I51" s="25">
        <v>0.96</v>
      </c>
      <c r="J51" s="25">
        <v>1.24</v>
      </c>
      <c r="K51" s="25">
        <f t="shared" si="0"/>
        <v>0.28000000000000003</v>
      </c>
      <c r="M51" s="17" t="s">
        <v>2</v>
      </c>
      <c r="N51" s="17" t="s">
        <v>2</v>
      </c>
      <c r="O51" s="12" t="s">
        <v>2</v>
      </c>
      <c r="P51" s="13"/>
      <c r="Q51" s="17" t="s">
        <v>2</v>
      </c>
      <c r="R51" s="17" t="s">
        <v>2</v>
      </c>
      <c r="S51" s="17" t="s">
        <v>2</v>
      </c>
      <c r="T51" s="13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2:30" x14ac:dyDescent="0.25">
      <c r="B52" s="11"/>
      <c r="C52" s="27"/>
      <c r="D52" s="27"/>
      <c r="E52" s="27"/>
      <c r="F52" s="25"/>
      <c r="G52" s="25"/>
      <c r="H52" s="25"/>
      <c r="I52" s="25"/>
      <c r="J52" s="25"/>
      <c r="K52" s="25"/>
      <c r="M52" s="25"/>
      <c r="N52" s="25"/>
      <c r="O52" s="25"/>
      <c r="P52" s="20"/>
      <c r="Q52" s="25"/>
      <c r="R52" s="25"/>
      <c r="S52" s="25"/>
      <c r="T52" s="20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2:30" x14ac:dyDescent="0.25">
      <c r="B53" s="14" t="s">
        <v>45</v>
      </c>
      <c r="C53" s="15">
        <v>146</v>
      </c>
      <c r="D53" s="15">
        <v>1095</v>
      </c>
      <c r="E53" s="15">
        <v>2004</v>
      </c>
      <c r="F53" s="15">
        <v>1923</v>
      </c>
      <c r="G53" s="15">
        <v>2122</v>
      </c>
      <c r="H53" s="15">
        <v>4168</v>
      </c>
      <c r="I53" s="15">
        <v>4315</v>
      </c>
      <c r="J53" s="15">
        <v>6315</v>
      </c>
      <c r="K53" s="15">
        <f t="shared" si="0"/>
        <v>2000</v>
      </c>
      <c r="L53" s="16"/>
      <c r="M53" s="15">
        <v>4844</v>
      </c>
      <c r="N53" s="15">
        <v>3656</v>
      </c>
      <c r="O53" s="15">
        <f t="shared" ref="O53:O58" si="25">N53-M53</f>
        <v>-1188</v>
      </c>
      <c r="P53" s="13"/>
      <c r="Q53" s="15">
        <v>1303</v>
      </c>
      <c r="R53" s="15">
        <v>4720</v>
      </c>
      <c r="S53" s="15">
        <f t="shared" si="2"/>
        <v>3417</v>
      </c>
      <c r="T53" s="13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2:30" x14ac:dyDescent="0.25">
      <c r="B54" s="11" t="s">
        <v>46</v>
      </c>
      <c r="C54" s="12">
        <v>-525</v>
      </c>
      <c r="D54" s="12">
        <v>-1093</v>
      </c>
      <c r="E54" s="12">
        <v>-1560</v>
      </c>
      <c r="F54" s="12">
        <v>-1747</v>
      </c>
      <c r="G54" s="12">
        <v>-1602</v>
      </c>
      <c r="H54" s="12">
        <v>-1621</v>
      </c>
      <c r="I54" s="12">
        <v>-2155</v>
      </c>
      <c r="J54" s="12">
        <v>-3504</v>
      </c>
      <c r="K54" s="28">
        <f t="shared" si="0"/>
        <v>-1349</v>
      </c>
      <c r="M54" s="12">
        <v>-2278</v>
      </c>
      <c r="N54" s="12">
        <v>-3598</v>
      </c>
      <c r="O54" s="28">
        <f t="shared" si="25"/>
        <v>-1320</v>
      </c>
      <c r="P54" s="13"/>
      <c r="Q54" s="12">
        <v>-1077</v>
      </c>
      <c r="R54" s="12">
        <v>-1434</v>
      </c>
      <c r="S54" s="28">
        <f t="shared" si="2"/>
        <v>-357</v>
      </c>
      <c r="T54" s="13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2:30" x14ac:dyDescent="0.25">
      <c r="B55" s="14" t="s">
        <v>47</v>
      </c>
      <c r="C55" s="15">
        <f t="shared" ref="C55:H55" si="26">SUM(C53:C54)</f>
        <v>-379</v>
      </c>
      <c r="D55" s="15">
        <f t="shared" si="26"/>
        <v>2</v>
      </c>
      <c r="E55" s="15">
        <f t="shared" si="26"/>
        <v>444</v>
      </c>
      <c r="F55" s="15">
        <f t="shared" si="26"/>
        <v>176</v>
      </c>
      <c r="G55" s="15">
        <f t="shared" si="26"/>
        <v>520</v>
      </c>
      <c r="H55" s="15">
        <f t="shared" si="26"/>
        <v>2547</v>
      </c>
      <c r="I55" s="15">
        <f>SUM(I53:I54)</f>
        <v>2160</v>
      </c>
      <c r="J55" s="15">
        <f>SUM(J53:J54)</f>
        <v>2811</v>
      </c>
      <c r="K55" s="15">
        <f t="shared" si="0"/>
        <v>651</v>
      </c>
      <c r="L55" s="16"/>
      <c r="M55" s="15">
        <f>SUM(M53:M54)</f>
        <v>2566</v>
      </c>
      <c r="N55" s="15">
        <f>SUM(N53:N54)</f>
        <v>58</v>
      </c>
      <c r="O55" s="15">
        <f t="shared" si="25"/>
        <v>-2508</v>
      </c>
      <c r="P55" s="13"/>
      <c r="Q55" s="15">
        <f>SUM(Q53:Q54)</f>
        <v>226</v>
      </c>
      <c r="R55" s="15">
        <f>SUM(R53:R54)</f>
        <v>3286</v>
      </c>
      <c r="S55" s="15">
        <f t="shared" si="2"/>
        <v>3060</v>
      </c>
      <c r="T55" s="13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2:30" x14ac:dyDescent="0.25">
      <c r="B56" s="11" t="s">
        <v>48</v>
      </c>
      <c r="C56" s="12">
        <v>-596</v>
      </c>
      <c r="D56" s="12">
        <v>-374.26</v>
      </c>
      <c r="E56" s="12">
        <v>-602</v>
      </c>
      <c r="F56" s="12">
        <v>-886</v>
      </c>
      <c r="G56" s="12">
        <v>-1047</v>
      </c>
      <c r="H56" s="12">
        <v>-1586</v>
      </c>
      <c r="I56" s="12">
        <v>-1211</v>
      </c>
      <c r="J56" s="12">
        <v>-1445</v>
      </c>
      <c r="K56" s="28">
        <f t="shared" si="0"/>
        <v>-234</v>
      </c>
      <c r="M56" s="12">
        <v>-1130</v>
      </c>
      <c r="N56" s="12">
        <v>-2208</v>
      </c>
      <c r="O56" s="28">
        <f t="shared" si="25"/>
        <v>-1078</v>
      </c>
      <c r="P56" s="13"/>
      <c r="Q56" s="12">
        <v>-353</v>
      </c>
      <c r="R56" s="12">
        <v>-1285</v>
      </c>
      <c r="S56" s="28">
        <f t="shared" si="2"/>
        <v>-932</v>
      </c>
      <c r="T56" s="13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2:30" x14ac:dyDescent="0.25">
      <c r="B57" s="11" t="s">
        <v>49</v>
      </c>
      <c r="C57" s="28">
        <v>-48</v>
      </c>
      <c r="D57" s="28">
        <v>-73</v>
      </c>
      <c r="E57" s="28">
        <v>-145</v>
      </c>
      <c r="F57" s="28">
        <v>-65</v>
      </c>
      <c r="G57" s="12">
        <v>-35</v>
      </c>
      <c r="H57" s="12">
        <v>-456</v>
      </c>
      <c r="I57" s="12">
        <v>-445</v>
      </c>
      <c r="J57" s="12">
        <v>-1258</v>
      </c>
      <c r="K57" s="28">
        <f t="shared" si="0"/>
        <v>-813</v>
      </c>
      <c r="M57" s="12">
        <v>-900</v>
      </c>
      <c r="N57" s="12">
        <v>-530</v>
      </c>
      <c r="O57" s="28">
        <f t="shared" si="25"/>
        <v>370</v>
      </c>
      <c r="P57" s="13"/>
      <c r="Q57" s="12">
        <v>-409</v>
      </c>
      <c r="R57" s="12">
        <v>-145</v>
      </c>
      <c r="S57" s="28">
        <f t="shared" si="2"/>
        <v>264</v>
      </c>
      <c r="T57" s="13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2:30" x14ac:dyDescent="0.25">
      <c r="B58" s="14" t="s">
        <v>50</v>
      </c>
      <c r="C58" s="15">
        <f>SUM(C55:C57)</f>
        <v>-1023</v>
      </c>
      <c r="D58" s="15">
        <f>SUM(D55:D57)</f>
        <v>-445.26</v>
      </c>
      <c r="E58" s="15">
        <f>SUM(E55:E57)</f>
        <v>-303</v>
      </c>
      <c r="F58" s="15">
        <f>SUM(F55:F57)</f>
        <v>-775</v>
      </c>
      <c r="G58" s="15">
        <f t="shared" ref="G58:H58" si="27">SUM(G55:G57)</f>
        <v>-562</v>
      </c>
      <c r="H58" s="15">
        <f t="shared" si="27"/>
        <v>505</v>
      </c>
      <c r="I58" s="15">
        <f>SUM(I55:I57)</f>
        <v>504</v>
      </c>
      <c r="J58" s="15">
        <f>SUM(J55:J57)</f>
        <v>108</v>
      </c>
      <c r="K58" s="15">
        <f t="shared" si="0"/>
        <v>-396</v>
      </c>
      <c r="L58" s="16"/>
      <c r="M58" s="15">
        <f>SUM(M55:M57)</f>
        <v>536</v>
      </c>
      <c r="N58" s="15">
        <f>SUM(N55:N57)</f>
        <v>-2680</v>
      </c>
      <c r="O58" s="15">
        <f t="shared" si="25"/>
        <v>-3216</v>
      </c>
      <c r="P58" s="13"/>
      <c r="Q58" s="15">
        <f>SUM(Q55:Q57)</f>
        <v>-536</v>
      </c>
      <c r="R58" s="15">
        <f>SUM(R55:R57)</f>
        <v>1856</v>
      </c>
      <c r="S58" s="15">
        <f t="shared" si="2"/>
        <v>2392</v>
      </c>
      <c r="T58" s="13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2:30" x14ac:dyDescent="0.25">
      <c r="B59" s="18"/>
      <c r="C59" s="29"/>
      <c r="D59" s="30"/>
      <c r="E59" s="30"/>
      <c r="F59" s="30"/>
      <c r="G59" s="30"/>
      <c r="H59" s="30"/>
      <c r="I59" s="30"/>
      <c r="J59" s="30"/>
      <c r="K59" s="30"/>
      <c r="M59" s="30"/>
      <c r="N59" s="30"/>
      <c r="O59" s="30"/>
      <c r="P59" s="13"/>
      <c r="Q59" s="30"/>
      <c r="R59" s="30"/>
      <c r="S59" s="30"/>
      <c r="T59" s="13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2:30" x14ac:dyDescent="0.25">
      <c r="B60" s="18" t="s">
        <v>51</v>
      </c>
      <c r="C60" s="17" t="s">
        <v>2</v>
      </c>
      <c r="D60" s="30">
        <v>5461</v>
      </c>
      <c r="E60" s="30">
        <v>6083</v>
      </c>
      <c r="F60" s="31">
        <v>6493</v>
      </c>
      <c r="G60" s="31">
        <v>7303</v>
      </c>
      <c r="H60" s="31">
        <v>8702</v>
      </c>
      <c r="I60" s="31">
        <f>H64</f>
        <v>8846.7929999999997</v>
      </c>
      <c r="J60" s="12">
        <v>9399</v>
      </c>
      <c r="K60" s="31">
        <f t="shared" si="0"/>
        <v>552.20700000000033</v>
      </c>
      <c r="M60" s="31">
        <f>J60</f>
        <v>9399</v>
      </c>
      <c r="N60" s="12">
        <v>9028</v>
      </c>
      <c r="O60" s="31">
        <f t="shared" ref="O60:O64" si="28">N60-M60</f>
        <v>-371</v>
      </c>
      <c r="P60" s="13"/>
      <c r="Q60" s="31">
        <v>9177</v>
      </c>
      <c r="R60" s="12">
        <v>15984</v>
      </c>
      <c r="S60" s="31">
        <f t="shared" ref="S60:S64" si="29">R60-Q60</f>
        <v>6807</v>
      </c>
      <c r="T60" s="13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2:30" x14ac:dyDescent="0.25">
      <c r="B61" s="32" t="s">
        <v>52</v>
      </c>
      <c r="C61" s="17" t="s">
        <v>2</v>
      </c>
      <c r="D61" s="31">
        <v>445.26</v>
      </c>
      <c r="E61" s="31">
        <v>303</v>
      </c>
      <c r="F61" s="31">
        <v>775</v>
      </c>
      <c r="G61" s="31">
        <v>562</v>
      </c>
      <c r="H61" s="31">
        <v>-505</v>
      </c>
      <c r="I61" s="31">
        <f>-I58</f>
        <v>-504</v>
      </c>
      <c r="J61" s="12">
        <v>-108</v>
      </c>
      <c r="K61" s="31">
        <f t="shared" si="0"/>
        <v>396</v>
      </c>
      <c r="M61" s="31">
        <v>-536</v>
      </c>
      <c r="N61" s="12">
        <v>2680</v>
      </c>
      <c r="O61" s="31">
        <f t="shared" si="28"/>
        <v>3216</v>
      </c>
      <c r="P61" s="13"/>
      <c r="Q61" s="31">
        <v>536</v>
      </c>
      <c r="R61" s="12">
        <v>-1856</v>
      </c>
      <c r="S61" s="31">
        <f t="shared" si="29"/>
        <v>-2392</v>
      </c>
      <c r="T61" s="13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2:30" x14ac:dyDescent="0.25">
      <c r="B62" s="32" t="s">
        <v>53</v>
      </c>
      <c r="C62" s="17" t="s">
        <v>2</v>
      </c>
      <c r="D62" s="17" t="s">
        <v>2</v>
      </c>
      <c r="E62" s="17" t="s">
        <v>2</v>
      </c>
      <c r="F62" s="17" t="s">
        <v>2</v>
      </c>
      <c r="G62" s="31">
        <v>354</v>
      </c>
      <c r="H62" s="31">
        <v>471.60887463684708</v>
      </c>
      <c r="I62" s="31">
        <v>708.64</v>
      </c>
      <c r="J62" s="12">
        <v>1134</v>
      </c>
      <c r="K62" s="31">
        <f t="shared" si="0"/>
        <v>425.36</v>
      </c>
      <c r="M62" s="31">
        <v>1134</v>
      </c>
      <c r="N62" s="12">
        <v>1465.4899323999996</v>
      </c>
      <c r="O62" s="31">
        <f t="shared" si="28"/>
        <v>331.48993239999959</v>
      </c>
      <c r="P62" s="13"/>
      <c r="Q62" s="17" t="s">
        <v>2</v>
      </c>
      <c r="R62" s="17" t="s">
        <v>2</v>
      </c>
      <c r="S62" s="17" t="s">
        <v>2</v>
      </c>
      <c r="T62" s="13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2:30" x14ac:dyDescent="0.25">
      <c r="B63" s="32" t="s">
        <v>54</v>
      </c>
      <c r="C63" s="17" t="s">
        <v>2</v>
      </c>
      <c r="D63" s="31">
        <v>176.74</v>
      </c>
      <c r="E63" s="31">
        <v>107</v>
      </c>
      <c r="F63" s="31">
        <v>35</v>
      </c>
      <c r="G63" s="31">
        <v>483</v>
      </c>
      <c r="H63" s="31">
        <v>178.18412536315191</v>
      </c>
      <c r="I63" s="31">
        <v>347.56700000000092</v>
      </c>
      <c r="J63" s="12">
        <v>-1397</v>
      </c>
      <c r="K63" s="31">
        <f t="shared" si="0"/>
        <v>-1744.5670000000009</v>
      </c>
      <c r="M63" s="31">
        <v>-202</v>
      </c>
      <c r="N63" s="12">
        <v>809.51006760000018</v>
      </c>
      <c r="O63" s="31">
        <f t="shared" si="28"/>
        <v>1011.5100676000002</v>
      </c>
      <c r="P63" s="13"/>
      <c r="Q63" s="31">
        <v>82</v>
      </c>
      <c r="R63" s="12">
        <v>-145</v>
      </c>
      <c r="S63" s="31">
        <f t="shared" si="29"/>
        <v>-227</v>
      </c>
      <c r="T63" s="13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2:30" x14ac:dyDescent="0.25">
      <c r="B64" s="18" t="s">
        <v>55</v>
      </c>
      <c r="C64" s="31">
        <v>5461</v>
      </c>
      <c r="D64" s="31">
        <v>6083</v>
      </c>
      <c r="E64" s="31">
        <v>6493</v>
      </c>
      <c r="F64" s="31">
        <v>7303</v>
      </c>
      <c r="G64" s="31">
        <v>8702</v>
      </c>
      <c r="H64" s="31">
        <v>8846.7929999999997</v>
      </c>
      <c r="I64" s="31">
        <v>9399</v>
      </c>
      <c r="J64" s="12">
        <v>9028</v>
      </c>
      <c r="K64" s="31">
        <f t="shared" si="0"/>
        <v>-371</v>
      </c>
      <c r="M64" s="31">
        <v>9795</v>
      </c>
      <c r="N64" s="12">
        <v>13983</v>
      </c>
      <c r="O64" s="31">
        <f t="shared" si="28"/>
        <v>4188</v>
      </c>
      <c r="P64" s="13"/>
      <c r="Q64" s="31">
        <v>9795</v>
      </c>
      <c r="R64" s="12">
        <v>13983</v>
      </c>
      <c r="S64" s="31">
        <f t="shared" si="29"/>
        <v>4188</v>
      </c>
      <c r="T64" s="13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14" t="s">
        <v>56</v>
      </c>
      <c r="C65" s="33">
        <f>ROUND(C64/C23,1)</f>
        <v>7</v>
      </c>
      <c r="D65" s="33">
        <f>ROUND(D64/D23,1)</f>
        <v>5.5</v>
      </c>
      <c r="E65" s="33">
        <v>3.4</v>
      </c>
      <c r="F65" s="33">
        <f>ROUND(F64/F23,1)</f>
        <v>2.8</v>
      </c>
      <c r="G65" s="33">
        <f>ROUND(G64/G23,1)</f>
        <v>2.2999999999999998</v>
      </c>
      <c r="H65" s="33">
        <f>ROUND(H64/H23,1)</f>
        <v>1.9</v>
      </c>
      <c r="I65" s="33">
        <f>ROUND(I64/I23,1)</f>
        <v>1.7</v>
      </c>
      <c r="J65" s="33">
        <f>ROUND(J64/J23,1)</f>
        <v>1.2</v>
      </c>
      <c r="K65" s="33">
        <f t="shared" si="0"/>
        <v>-0.5</v>
      </c>
      <c r="L65" s="16"/>
      <c r="M65" s="33" t="s">
        <v>2</v>
      </c>
      <c r="N65" s="33" t="s">
        <v>2</v>
      </c>
      <c r="O65" s="33" t="s">
        <v>2</v>
      </c>
      <c r="P65" s="13"/>
      <c r="Q65" s="33" t="s">
        <v>2</v>
      </c>
      <c r="R65" s="33" t="s">
        <v>2</v>
      </c>
      <c r="S65" s="33" t="s">
        <v>2</v>
      </c>
      <c r="T65" s="13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x14ac:dyDescent="0.25">
      <c r="B66" s="5"/>
      <c r="C66" s="34"/>
      <c r="D66" s="34"/>
      <c r="E66" s="34"/>
      <c r="F66" s="34"/>
      <c r="G66" s="34"/>
      <c r="H66" s="34"/>
      <c r="K66" s="34"/>
      <c r="O66" s="34"/>
      <c r="S66" s="34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x14ac:dyDescent="0.25">
      <c r="B67" s="14" t="s">
        <v>57</v>
      </c>
      <c r="C67" s="15">
        <v>5957.2849999999999</v>
      </c>
      <c r="D67" s="15">
        <v>6675.1779999999999</v>
      </c>
      <c r="E67" s="15">
        <v>7195.3059479999993</v>
      </c>
      <c r="F67" s="15">
        <v>8235</v>
      </c>
      <c r="G67" s="15">
        <v>10137</v>
      </c>
      <c r="H67" s="15">
        <v>10618.456</v>
      </c>
      <c r="I67" s="15">
        <v>11305</v>
      </c>
      <c r="J67" s="15">
        <v>11325.24198615</v>
      </c>
      <c r="K67" s="15">
        <f>J67-I67</f>
        <v>20.24198615000023</v>
      </c>
      <c r="L67" s="16"/>
      <c r="M67" s="15">
        <v>12077</v>
      </c>
      <c r="N67" s="15">
        <v>18100</v>
      </c>
      <c r="O67" s="15">
        <f>N67-M67</f>
        <v>6023</v>
      </c>
      <c r="Q67" s="15">
        <f>M67</f>
        <v>12077</v>
      </c>
      <c r="R67" s="15">
        <f>N67</f>
        <v>18100</v>
      </c>
      <c r="S67" s="15">
        <f>R67-Q67</f>
        <v>6023</v>
      </c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x14ac:dyDescent="0.25">
      <c r="C68" s="1"/>
      <c r="E68" s="1"/>
      <c r="F68" s="1"/>
      <c r="G68" s="1"/>
      <c r="H68" s="1"/>
      <c r="J68" s="13"/>
      <c r="K68" s="1"/>
      <c r="N68" s="13"/>
      <c r="O68" s="1"/>
      <c r="R68" s="13"/>
      <c r="S68" s="1"/>
    </row>
    <row r="69" spans="2:30" x14ac:dyDescent="0.25">
      <c r="C69" s="1"/>
      <c r="E69" s="35"/>
      <c r="F69" s="35"/>
      <c r="G69" s="1"/>
      <c r="H69" s="1"/>
      <c r="K69" s="1"/>
      <c r="O69" s="1"/>
      <c r="S69" s="1"/>
    </row>
    <row r="70" spans="2:30" x14ac:dyDescent="0.25">
      <c r="F70" s="1"/>
      <c r="G70" s="1"/>
      <c r="H70" s="1"/>
      <c r="J70" s="1"/>
      <c r="N70" s="1"/>
      <c r="R70" s="1"/>
    </row>
    <row r="72" spans="2:30" x14ac:dyDescent="0.25">
      <c r="F72" s="1"/>
      <c r="G72" s="1"/>
      <c r="H72" s="1"/>
      <c r="I72" s="1"/>
      <c r="J72" s="1"/>
      <c r="K72" s="1"/>
      <c r="M72" s="1"/>
      <c r="N72" s="1"/>
      <c r="O72" s="1"/>
      <c r="Q72" s="1"/>
      <c r="R72" s="1"/>
      <c r="S72" s="1"/>
    </row>
    <row r="73" spans="2:30" x14ac:dyDescent="0.25">
      <c r="F73" s="1"/>
      <c r="G73" s="1"/>
      <c r="H73" s="1"/>
      <c r="I73" s="1"/>
      <c r="J73" s="1"/>
      <c r="M73" s="1"/>
      <c r="N73" s="1"/>
      <c r="Q73" s="1"/>
      <c r="R73" s="1"/>
    </row>
    <row r="74" spans="2:30" x14ac:dyDescent="0.25">
      <c r="F74" s="36"/>
      <c r="G74" s="36"/>
      <c r="H74" s="36"/>
      <c r="I74" s="36"/>
      <c r="J74" s="36"/>
      <c r="M74" s="36"/>
      <c r="N74" s="36"/>
      <c r="Q74" s="36"/>
      <c r="R74" s="36"/>
    </row>
  </sheetData>
  <pageMargins left="0.7" right="0.7" top="0.75" bottom="0.75" header="0.3" footer="0.3"/>
  <pageSetup paperSize="9" scale="49" fitToWidth="0" fitToHeight="0" orientation="landscape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7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55.85546875" customWidth="1"/>
    <col min="3" max="3" width="6.28515625" bestFit="1" customWidth="1"/>
    <col min="4" max="5" width="7" bestFit="1" customWidth="1"/>
    <col min="6" max="7" width="6.28515625" bestFit="1" customWidth="1"/>
    <col min="8" max="8" width="6.85546875" bestFit="1" customWidth="1"/>
    <col min="9" max="9" width="7" bestFit="1" customWidth="1"/>
    <col min="10" max="10" width="7.5703125" bestFit="1" customWidth="1"/>
    <col min="11" max="11" width="8.7109375" bestFit="1" customWidth="1"/>
    <col min="12" max="12" width="2.28515625" customWidth="1"/>
    <col min="13" max="13" width="7" bestFit="1" customWidth="1"/>
    <col min="14" max="14" width="7.5703125" bestFit="1" customWidth="1"/>
    <col min="15" max="15" width="8.7109375" bestFit="1" customWidth="1"/>
    <col min="16" max="16" width="2.28515625" customWidth="1"/>
    <col min="17" max="17" width="6.28515625" bestFit="1" customWidth="1"/>
    <col min="18" max="18" width="6.85546875" bestFit="1" customWidth="1"/>
    <col min="19" max="19" width="8.7109375" bestFit="1" customWidth="1"/>
  </cols>
  <sheetData>
    <row r="1" spans="2:20" x14ac:dyDescent="0.25">
      <c r="C1" s="1"/>
      <c r="D1" s="1"/>
      <c r="E1" s="1"/>
      <c r="F1" s="2"/>
      <c r="G1" s="2"/>
      <c r="H1" s="2"/>
      <c r="K1" s="2"/>
      <c r="M1" s="2"/>
      <c r="Q1" s="2"/>
    </row>
    <row r="2" spans="2:20" x14ac:dyDescent="0.25">
      <c r="B2" s="37" t="s">
        <v>61</v>
      </c>
      <c r="C2" s="38"/>
      <c r="D2" s="38"/>
      <c r="E2" s="38"/>
      <c r="F2" s="38"/>
      <c r="G2" s="38"/>
      <c r="H2" s="38"/>
      <c r="I2" s="38"/>
      <c r="J2" s="38"/>
      <c r="K2" s="6" t="s">
        <v>58</v>
      </c>
      <c r="L2" s="39"/>
      <c r="M2" s="6" t="s">
        <v>59</v>
      </c>
      <c r="N2" s="6" t="s">
        <v>59</v>
      </c>
      <c r="O2" s="6" t="s">
        <v>58</v>
      </c>
      <c r="Q2" s="6" t="s">
        <v>60</v>
      </c>
      <c r="R2" s="6" t="s">
        <v>60</v>
      </c>
      <c r="S2" s="6" t="s">
        <v>58</v>
      </c>
    </row>
    <row r="3" spans="2:20" ht="15.75" thickBot="1" x14ac:dyDescent="0.3">
      <c r="B3" s="40" t="s">
        <v>62</v>
      </c>
      <c r="C3" s="41">
        <v>2014</v>
      </c>
      <c r="D3" s="41">
        <v>2015</v>
      </c>
      <c r="E3" s="41">
        <v>2016</v>
      </c>
      <c r="F3" s="41">
        <v>2017</v>
      </c>
      <c r="G3" s="41">
        <v>2018</v>
      </c>
      <c r="H3" s="41">
        <v>2019</v>
      </c>
      <c r="I3" s="9">
        <v>2020</v>
      </c>
      <c r="J3" s="9">
        <v>2021</v>
      </c>
      <c r="K3" s="10" t="str">
        <f>Konsolide!K3</f>
        <v>20-21</v>
      </c>
      <c r="L3" s="39"/>
      <c r="M3" s="9">
        <f>Konsolide!M3</f>
        <v>2021</v>
      </c>
      <c r="N3" s="9">
        <f>Konsolide!N3</f>
        <v>2022</v>
      </c>
      <c r="O3" s="10" t="s">
        <v>1</v>
      </c>
      <c r="Q3" s="9">
        <f>Konsolide!Q3</f>
        <v>2021</v>
      </c>
      <c r="R3" s="9">
        <f>Konsolide!R3</f>
        <v>2022</v>
      </c>
      <c r="S3" s="10" t="s">
        <v>1</v>
      </c>
    </row>
    <row r="4" spans="2:20" x14ac:dyDescent="0.25">
      <c r="B4" s="18" t="s">
        <v>63</v>
      </c>
      <c r="C4" s="42">
        <v>299.22800000000018</v>
      </c>
      <c r="D4" s="42">
        <v>311.61800000000056</v>
      </c>
      <c r="E4" s="42">
        <v>312.18900000000048</v>
      </c>
      <c r="F4" s="42">
        <v>334.85956230004615</v>
      </c>
      <c r="G4" s="42">
        <v>621</v>
      </c>
      <c r="H4" s="42">
        <v>657</v>
      </c>
      <c r="I4" s="42">
        <v>738</v>
      </c>
      <c r="J4" s="42">
        <v>974</v>
      </c>
      <c r="K4" s="42">
        <f>J4-I4</f>
        <v>236</v>
      </c>
      <c r="L4" s="4"/>
      <c r="M4" s="42">
        <v>693</v>
      </c>
      <c r="N4" s="42">
        <v>2266</v>
      </c>
      <c r="O4" s="42">
        <f>N4-M4</f>
        <v>1573</v>
      </c>
      <c r="P4" s="19"/>
      <c r="Q4" s="42">
        <v>275</v>
      </c>
      <c r="R4" s="42">
        <v>871</v>
      </c>
      <c r="S4" s="42">
        <f>R4-Q4</f>
        <v>596</v>
      </c>
      <c r="T4" s="19"/>
    </row>
    <row r="5" spans="2:20" x14ac:dyDescent="0.25">
      <c r="B5" s="18" t="s">
        <v>64</v>
      </c>
      <c r="C5" s="42">
        <v>22.606147221013639</v>
      </c>
      <c r="D5" s="42">
        <v>72.397000000000673</v>
      </c>
      <c r="E5" s="42">
        <v>144.58423525436825</v>
      </c>
      <c r="F5" s="42">
        <v>73.956999999999894</v>
      </c>
      <c r="G5" s="42">
        <v>46</v>
      </c>
      <c r="H5" s="42">
        <v>97</v>
      </c>
      <c r="I5" s="42">
        <v>482</v>
      </c>
      <c r="J5" s="42">
        <v>189</v>
      </c>
      <c r="K5" s="42">
        <f t="shared" ref="K5:K19" si="0">J5-I5</f>
        <v>-293</v>
      </c>
      <c r="L5" s="4"/>
      <c r="M5" s="42">
        <v>247.51600000000002</v>
      </c>
      <c r="N5" s="42">
        <v>543</v>
      </c>
      <c r="O5" s="42">
        <f t="shared" ref="O5:O19" si="1">N5-M5</f>
        <v>295.48399999999998</v>
      </c>
      <c r="P5" s="20"/>
      <c r="Q5" s="42">
        <v>37.51600000000002</v>
      </c>
      <c r="R5" s="42">
        <v>159</v>
      </c>
      <c r="S5" s="42">
        <f t="shared" ref="S5" si="2">R5-Q5</f>
        <v>121.48399999999998</v>
      </c>
      <c r="T5" s="20"/>
    </row>
    <row r="6" spans="2:20" x14ac:dyDescent="0.25">
      <c r="B6" s="18" t="s">
        <v>3</v>
      </c>
      <c r="C6" s="43" t="s">
        <v>2</v>
      </c>
      <c r="D6" s="43" t="s">
        <v>2</v>
      </c>
      <c r="E6" s="43" t="s">
        <v>2</v>
      </c>
      <c r="F6" s="43" t="s">
        <v>2</v>
      </c>
      <c r="G6" s="43" t="s">
        <v>2</v>
      </c>
      <c r="H6" s="43" t="s">
        <v>2</v>
      </c>
      <c r="I6" s="43" t="s">
        <v>2</v>
      </c>
      <c r="J6" s="43" t="s">
        <v>2</v>
      </c>
      <c r="K6" s="43" t="s">
        <v>2</v>
      </c>
      <c r="L6" s="44"/>
      <c r="M6" s="43" t="s">
        <v>2</v>
      </c>
      <c r="N6" s="43" t="s">
        <v>2</v>
      </c>
      <c r="O6" s="43" t="s">
        <v>2</v>
      </c>
      <c r="P6" s="19"/>
      <c r="Q6" s="43" t="s">
        <v>2</v>
      </c>
      <c r="R6" s="43" t="s">
        <v>2</v>
      </c>
      <c r="S6" s="43" t="s">
        <v>2</v>
      </c>
      <c r="T6" s="19"/>
    </row>
    <row r="7" spans="2:20" x14ac:dyDescent="0.25">
      <c r="B7" s="18" t="s">
        <v>8</v>
      </c>
      <c r="C7" s="42">
        <v>-173.78114722101355</v>
      </c>
      <c r="D7" s="42">
        <v>-223.7378191757397</v>
      </c>
      <c r="E7" s="42">
        <v>-230.84508382045973</v>
      </c>
      <c r="F7" s="42">
        <v>-246.28291100266162</v>
      </c>
      <c r="G7" s="42">
        <f>-323-G27</f>
        <v>-315</v>
      </c>
      <c r="H7" s="42">
        <f>-325-H27</f>
        <v>-307</v>
      </c>
      <c r="I7" s="42">
        <v>-369</v>
      </c>
      <c r="J7" s="42">
        <v>-427</v>
      </c>
      <c r="K7" s="42">
        <f t="shared" si="0"/>
        <v>-58</v>
      </c>
      <c r="L7" s="45"/>
      <c r="M7" s="42">
        <v>-300</v>
      </c>
      <c r="N7" s="42">
        <v>-580</v>
      </c>
      <c r="O7" s="42">
        <f t="shared" si="1"/>
        <v>-280</v>
      </c>
      <c r="P7" s="20"/>
      <c r="Q7" s="42">
        <v>-102</v>
      </c>
      <c r="R7" s="42">
        <v>-230</v>
      </c>
      <c r="S7" s="42">
        <f t="shared" ref="S7:S19" si="3">R7-Q7</f>
        <v>-128</v>
      </c>
      <c r="T7" s="20"/>
    </row>
    <row r="8" spans="2:20" x14ac:dyDescent="0.25">
      <c r="B8" s="18" t="s">
        <v>65</v>
      </c>
      <c r="C8" s="42">
        <f>SUM(C9:C11)</f>
        <v>11.761999999999986</v>
      </c>
      <c r="D8" s="42">
        <f t="shared" ref="D8:J8" si="4">SUM(D9:D11)</f>
        <v>111.092</v>
      </c>
      <c r="E8" s="42">
        <f t="shared" si="4"/>
        <v>70.445821000000009</v>
      </c>
      <c r="F8" s="42">
        <f t="shared" si="4"/>
        <v>88.808999999999997</v>
      </c>
      <c r="G8" s="42">
        <f t="shared" si="4"/>
        <v>58</v>
      </c>
      <c r="H8" s="42">
        <f t="shared" si="4"/>
        <v>120</v>
      </c>
      <c r="I8" s="42">
        <f t="shared" si="4"/>
        <v>44</v>
      </c>
      <c r="J8" s="42">
        <f t="shared" si="4"/>
        <v>154</v>
      </c>
      <c r="K8" s="42">
        <f t="shared" si="0"/>
        <v>110</v>
      </c>
      <c r="L8" s="4"/>
      <c r="M8" s="42">
        <f t="shared" ref="M8:N8" si="5">SUM(M9:M11)</f>
        <v>103</v>
      </c>
      <c r="N8" s="42">
        <f t="shared" si="5"/>
        <v>128</v>
      </c>
      <c r="O8" s="42">
        <f t="shared" si="1"/>
        <v>25</v>
      </c>
      <c r="P8" s="19"/>
      <c r="Q8" s="42">
        <f t="shared" ref="Q8:R8" si="6">SUM(Q9:Q11)</f>
        <v>26</v>
      </c>
      <c r="R8" s="42">
        <f t="shared" si="6"/>
        <v>58</v>
      </c>
      <c r="S8" s="42">
        <f t="shared" si="3"/>
        <v>32</v>
      </c>
      <c r="T8" s="19"/>
    </row>
    <row r="9" spans="2:20" x14ac:dyDescent="0.25">
      <c r="B9" s="32" t="s">
        <v>66</v>
      </c>
      <c r="C9" s="42">
        <v>-165.72300000000001</v>
      </c>
      <c r="D9" s="42">
        <v>-131.27500000000001</v>
      </c>
      <c r="E9" s="42">
        <v>-86.338178999999997</v>
      </c>
      <c r="F9" s="42">
        <v>-75.184078999999997</v>
      </c>
      <c r="G9" s="42">
        <f>-84-G28</f>
        <v>-84</v>
      </c>
      <c r="H9" s="42">
        <f>-63-H28</f>
        <v>-63</v>
      </c>
      <c r="I9" s="42">
        <v>-140</v>
      </c>
      <c r="J9" s="42">
        <v>-73</v>
      </c>
      <c r="K9" s="42">
        <f t="shared" si="0"/>
        <v>67</v>
      </c>
      <c r="L9" s="4"/>
      <c r="M9" s="42">
        <v>-48</v>
      </c>
      <c r="N9" s="42">
        <v>-124</v>
      </c>
      <c r="O9" s="42">
        <f t="shared" si="1"/>
        <v>-76</v>
      </c>
      <c r="P9" s="19"/>
      <c r="Q9" s="42">
        <v>-34</v>
      </c>
      <c r="R9" s="42">
        <v>-59</v>
      </c>
      <c r="S9" s="42">
        <f t="shared" si="3"/>
        <v>-25</v>
      </c>
      <c r="T9" s="19"/>
    </row>
    <row r="10" spans="2:20" x14ac:dyDescent="0.25">
      <c r="B10" s="32" t="s">
        <v>67</v>
      </c>
      <c r="C10" s="42">
        <v>79.484999999999999</v>
      </c>
      <c r="D10" s="42">
        <v>86.367000000000004</v>
      </c>
      <c r="E10" s="42">
        <v>66.784000000000006</v>
      </c>
      <c r="F10" s="42">
        <v>70.993078999999994</v>
      </c>
      <c r="G10" s="42">
        <v>84</v>
      </c>
      <c r="H10" s="42">
        <v>144</v>
      </c>
      <c r="I10" s="42">
        <v>138</v>
      </c>
      <c r="J10" s="42">
        <v>166</v>
      </c>
      <c r="K10" s="42">
        <f t="shared" si="0"/>
        <v>28</v>
      </c>
      <c r="L10" s="4"/>
      <c r="M10" s="42">
        <v>115</v>
      </c>
      <c r="N10" s="42">
        <v>210</v>
      </c>
      <c r="O10" s="42">
        <f t="shared" si="1"/>
        <v>95</v>
      </c>
      <c r="P10" s="19"/>
      <c r="Q10" s="42">
        <v>43</v>
      </c>
      <c r="R10" s="42">
        <v>100</v>
      </c>
      <c r="S10" s="42">
        <f t="shared" si="3"/>
        <v>57</v>
      </c>
      <c r="T10" s="19"/>
    </row>
    <row r="11" spans="2:20" x14ac:dyDescent="0.25">
      <c r="B11" s="32" t="s">
        <v>68</v>
      </c>
      <c r="C11" s="42">
        <v>98</v>
      </c>
      <c r="D11" s="42">
        <v>156</v>
      </c>
      <c r="E11" s="42">
        <v>90</v>
      </c>
      <c r="F11" s="42">
        <v>93</v>
      </c>
      <c r="G11" s="42">
        <v>58</v>
      </c>
      <c r="H11" s="42">
        <v>39</v>
      </c>
      <c r="I11" s="42">
        <v>46</v>
      </c>
      <c r="J11" s="42">
        <v>61</v>
      </c>
      <c r="K11" s="42">
        <f t="shared" si="0"/>
        <v>15</v>
      </c>
      <c r="L11" s="4"/>
      <c r="M11" s="42">
        <v>36</v>
      </c>
      <c r="N11" s="42">
        <v>42</v>
      </c>
      <c r="O11" s="42">
        <f t="shared" si="1"/>
        <v>6</v>
      </c>
      <c r="P11" s="19"/>
      <c r="Q11" s="42">
        <v>17</v>
      </c>
      <c r="R11" s="42">
        <v>17</v>
      </c>
      <c r="S11" s="42">
        <f t="shared" si="3"/>
        <v>0</v>
      </c>
      <c r="T11" s="19"/>
    </row>
    <row r="12" spans="2:20" x14ac:dyDescent="0.25">
      <c r="B12" s="18" t="s">
        <v>34</v>
      </c>
      <c r="C12" s="42">
        <v>-14.565</v>
      </c>
      <c r="D12" s="42">
        <v>8.3518759999999972</v>
      </c>
      <c r="E12" s="42">
        <v>-6.4528210000000072</v>
      </c>
      <c r="F12" s="42">
        <v>-4.5625489498420002</v>
      </c>
      <c r="G12" s="42">
        <f>-23-G29</f>
        <v>-23</v>
      </c>
      <c r="H12" s="42">
        <f>-9-H29</f>
        <v>-9</v>
      </c>
      <c r="I12" s="42">
        <v>-19</v>
      </c>
      <c r="J12" s="42">
        <v>72</v>
      </c>
      <c r="K12" s="42">
        <f t="shared" si="0"/>
        <v>91</v>
      </c>
      <c r="L12" s="4"/>
      <c r="M12" s="42">
        <v>7</v>
      </c>
      <c r="N12" s="42">
        <v>-386</v>
      </c>
      <c r="O12" s="42">
        <f t="shared" si="1"/>
        <v>-393</v>
      </c>
      <c r="P12" s="19"/>
      <c r="Q12" s="42">
        <v>8</v>
      </c>
      <c r="R12" s="42">
        <v>-336</v>
      </c>
      <c r="S12" s="42">
        <f t="shared" si="3"/>
        <v>-344</v>
      </c>
      <c r="T12" s="19"/>
    </row>
    <row r="13" spans="2:20" x14ac:dyDescent="0.25">
      <c r="B13" s="14" t="s">
        <v>24</v>
      </c>
      <c r="C13" s="46">
        <f>SUM(C4:C8,C12)</f>
        <v>145.25000000000028</v>
      </c>
      <c r="D13" s="46">
        <f t="shared" ref="D13:J13" si="7">SUM(D4:D8,D12)</f>
        <v>279.72105682426155</v>
      </c>
      <c r="E13" s="46">
        <f t="shared" si="7"/>
        <v>289.92115143390896</v>
      </c>
      <c r="F13" s="46">
        <f t="shared" si="7"/>
        <v>246.7801023475424</v>
      </c>
      <c r="G13" s="46">
        <f t="shared" si="7"/>
        <v>387</v>
      </c>
      <c r="H13" s="46">
        <f t="shared" si="7"/>
        <v>558</v>
      </c>
      <c r="I13" s="46">
        <f t="shared" si="7"/>
        <v>876</v>
      </c>
      <c r="J13" s="46">
        <f t="shared" si="7"/>
        <v>962</v>
      </c>
      <c r="K13" s="46">
        <f t="shared" si="0"/>
        <v>86</v>
      </c>
      <c r="L13" s="47"/>
      <c r="M13" s="46">
        <f t="shared" ref="M13:N13" si="8">SUM(M4:M8,M12)</f>
        <v>750.51600000000008</v>
      </c>
      <c r="N13" s="46">
        <f t="shared" si="8"/>
        <v>1971</v>
      </c>
      <c r="O13" s="46">
        <f t="shared" si="1"/>
        <v>1220.4839999999999</v>
      </c>
      <c r="P13" s="4"/>
      <c r="Q13" s="46">
        <f t="shared" ref="Q13:R13" si="9">SUM(Q4:Q8,Q12)</f>
        <v>244.51600000000002</v>
      </c>
      <c r="R13" s="46">
        <f t="shared" si="9"/>
        <v>522</v>
      </c>
      <c r="S13" s="46">
        <f t="shared" si="3"/>
        <v>277.48399999999998</v>
      </c>
      <c r="T13" s="4"/>
    </row>
    <row r="14" spans="2:20" x14ac:dyDescent="0.25">
      <c r="B14" s="11" t="s">
        <v>69</v>
      </c>
      <c r="C14" s="48">
        <v>-94.125463529883277</v>
      </c>
      <c r="D14" s="48">
        <v>84.147117730128457</v>
      </c>
      <c r="E14" s="48">
        <v>-101.23108797954657</v>
      </c>
      <c r="F14" s="49">
        <v>14</v>
      </c>
      <c r="G14" s="49">
        <v>-454</v>
      </c>
      <c r="H14" s="49">
        <v>811</v>
      </c>
      <c r="I14" s="42">
        <v>-119</v>
      </c>
      <c r="J14" s="42">
        <v>-2029</v>
      </c>
      <c r="K14" s="49">
        <f t="shared" si="0"/>
        <v>-1910</v>
      </c>
      <c r="L14" s="47"/>
      <c r="M14" s="49">
        <v>-542</v>
      </c>
      <c r="N14" s="42">
        <v>-4160</v>
      </c>
      <c r="O14" s="49">
        <f t="shared" si="1"/>
        <v>-3618</v>
      </c>
      <c r="P14" s="19"/>
      <c r="Q14" s="42">
        <v>-510</v>
      </c>
      <c r="R14" s="42">
        <v>820</v>
      </c>
      <c r="S14" s="42">
        <f t="shared" si="3"/>
        <v>1330</v>
      </c>
      <c r="T14" s="19"/>
    </row>
    <row r="15" spans="2:20" x14ac:dyDescent="0.25">
      <c r="B15" s="11" t="s">
        <v>70</v>
      </c>
      <c r="C15" s="48">
        <v>50.718258292059382</v>
      </c>
      <c r="D15" s="48">
        <v>62.977060449999662</v>
      </c>
      <c r="E15" s="48">
        <v>75.537088250000323</v>
      </c>
      <c r="F15" s="49">
        <v>140.46049025315006</v>
      </c>
      <c r="G15" s="49">
        <v>246</v>
      </c>
      <c r="H15" s="49">
        <v>64</v>
      </c>
      <c r="I15" s="42">
        <v>-25</v>
      </c>
      <c r="J15" s="42">
        <v>-39</v>
      </c>
      <c r="K15" s="49">
        <f t="shared" si="0"/>
        <v>-14</v>
      </c>
      <c r="L15" s="47"/>
      <c r="M15" s="49">
        <v>30</v>
      </c>
      <c r="N15" s="42">
        <v>345</v>
      </c>
      <c r="O15" s="49">
        <f t="shared" si="1"/>
        <v>315</v>
      </c>
      <c r="P15" s="19"/>
      <c r="Q15" s="42">
        <v>-25</v>
      </c>
      <c r="R15" s="42">
        <v>62</v>
      </c>
      <c r="S15" s="42">
        <f t="shared" si="3"/>
        <v>87</v>
      </c>
      <c r="T15" s="19"/>
    </row>
    <row r="16" spans="2:20" x14ac:dyDescent="0.25">
      <c r="B16" s="11" t="s">
        <v>71</v>
      </c>
      <c r="C16" s="48">
        <v>-8.2237827219789352</v>
      </c>
      <c r="D16" s="48">
        <v>39.088979237840363</v>
      </c>
      <c r="E16" s="48">
        <v>93.439336224535054</v>
      </c>
      <c r="F16" s="49">
        <v>-72.272592600692462</v>
      </c>
      <c r="G16" s="49">
        <f>-317-G31</f>
        <v>-269</v>
      </c>
      <c r="H16" s="49">
        <f>342-H31</f>
        <v>339</v>
      </c>
      <c r="I16" s="42">
        <v>51</v>
      </c>
      <c r="J16" s="42">
        <v>934</v>
      </c>
      <c r="K16" s="49">
        <f t="shared" si="0"/>
        <v>883</v>
      </c>
      <c r="L16" s="47"/>
      <c r="M16" s="49">
        <v>132</v>
      </c>
      <c r="N16" s="42">
        <v>-1623</v>
      </c>
      <c r="O16" s="49">
        <f t="shared" si="1"/>
        <v>-1755</v>
      </c>
      <c r="P16" s="19"/>
      <c r="Q16" s="42">
        <v>1</v>
      </c>
      <c r="R16" s="42">
        <v>1132</v>
      </c>
      <c r="S16" s="42">
        <f t="shared" si="3"/>
        <v>1131</v>
      </c>
      <c r="T16" s="19"/>
    </row>
    <row r="17" spans="2:20" x14ac:dyDescent="0.25">
      <c r="B17" s="14" t="s">
        <v>45</v>
      </c>
      <c r="C17" s="46">
        <f t="shared" ref="C17:H17" si="10">SUM(C13:C16)</f>
        <v>93.619012040197461</v>
      </c>
      <c r="D17" s="46">
        <f t="shared" si="10"/>
        <v>465.93421424223004</v>
      </c>
      <c r="E17" s="46">
        <f t="shared" si="10"/>
        <v>357.66648792889777</v>
      </c>
      <c r="F17" s="46">
        <f t="shared" si="10"/>
        <v>328.96800000000002</v>
      </c>
      <c r="G17" s="46">
        <f t="shared" si="10"/>
        <v>-90</v>
      </c>
      <c r="H17" s="46">
        <f t="shared" si="10"/>
        <v>1772</v>
      </c>
      <c r="I17" s="46">
        <f t="shared" ref="I17:J17" si="11">SUM(I13:I16)</f>
        <v>783</v>
      </c>
      <c r="J17" s="46">
        <f t="shared" si="11"/>
        <v>-172</v>
      </c>
      <c r="K17" s="46">
        <f t="shared" si="0"/>
        <v>-955</v>
      </c>
      <c r="L17" s="47"/>
      <c r="M17" s="46">
        <f t="shared" ref="M17:N17" si="12">SUM(M13:M16)</f>
        <v>370.51600000000008</v>
      </c>
      <c r="N17" s="46">
        <f t="shared" si="12"/>
        <v>-3467</v>
      </c>
      <c r="O17" s="46">
        <f t="shared" si="1"/>
        <v>-3837.5160000000001</v>
      </c>
      <c r="P17" s="19"/>
      <c r="Q17" s="46">
        <f t="shared" ref="Q17:R17" si="13">SUM(Q13:Q16)</f>
        <v>-289.48399999999998</v>
      </c>
      <c r="R17" s="46">
        <f t="shared" si="13"/>
        <v>2536</v>
      </c>
      <c r="S17" s="46">
        <f t="shared" si="3"/>
        <v>2825.4839999999999</v>
      </c>
      <c r="T17" s="19"/>
    </row>
    <row r="18" spans="2:20" x14ac:dyDescent="0.25">
      <c r="B18" s="11" t="s">
        <v>46</v>
      </c>
      <c r="C18" s="50">
        <v>-45.805712960197368</v>
      </c>
      <c r="D18" s="50">
        <v>-45.947109931561464</v>
      </c>
      <c r="E18" s="50">
        <v>-35.093000000000004</v>
      </c>
      <c r="F18" s="42">
        <v>-29.882000000000001</v>
      </c>
      <c r="G18" s="49">
        <f>-33-5-G33</f>
        <v>-32</v>
      </c>
      <c r="H18" s="49">
        <f>-47-4-H33</f>
        <v>-47</v>
      </c>
      <c r="I18" s="42">
        <v>-38</v>
      </c>
      <c r="J18" s="42">
        <v>-56</v>
      </c>
      <c r="K18" s="42">
        <f t="shared" si="0"/>
        <v>-18</v>
      </c>
      <c r="L18" s="4"/>
      <c r="M18" s="49">
        <v>-45</v>
      </c>
      <c r="N18" s="42">
        <v>-59</v>
      </c>
      <c r="O18" s="42">
        <f t="shared" si="1"/>
        <v>-14</v>
      </c>
      <c r="P18" s="19"/>
      <c r="Q18" s="42">
        <v>-20</v>
      </c>
      <c r="R18" s="42">
        <v>-14</v>
      </c>
      <c r="S18" s="42">
        <f t="shared" si="3"/>
        <v>6</v>
      </c>
      <c r="T18" s="19"/>
    </row>
    <row r="19" spans="2:20" x14ac:dyDescent="0.25">
      <c r="B19" s="14" t="s">
        <v>47</v>
      </c>
      <c r="C19" s="46">
        <f t="shared" ref="C19:H19" si="14">SUM(C17:C18)</f>
        <v>47.813299080000093</v>
      </c>
      <c r="D19" s="46">
        <f t="shared" si="14"/>
        <v>419.9871043106686</v>
      </c>
      <c r="E19" s="46">
        <f t="shared" si="14"/>
        <v>322.57348792889775</v>
      </c>
      <c r="F19" s="46">
        <f t="shared" si="14"/>
        <v>299.08600000000001</v>
      </c>
      <c r="G19" s="46">
        <f t="shared" si="14"/>
        <v>-122</v>
      </c>
      <c r="H19" s="46">
        <f t="shared" si="14"/>
        <v>1725</v>
      </c>
      <c r="I19" s="46">
        <f>SUM(I17:I18)</f>
        <v>745</v>
      </c>
      <c r="J19" s="46">
        <f>SUM(J17:J18)</f>
        <v>-228</v>
      </c>
      <c r="K19" s="46">
        <f t="shared" si="0"/>
        <v>-973</v>
      </c>
      <c r="L19" s="47"/>
      <c r="M19" s="46">
        <f t="shared" ref="M19" si="15">SUM(M17:M18)</f>
        <v>325.51600000000008</v>
      </c>
      <c r="N19" s="46">
        <f>SUM(N17:N18)</f>
        <v>-3526</v>
      </c>
      <c r="O19" s="46">
        <f t="shared" si="1"/>
        <v>-3851.5160000000001</v>
      </c>
      <c r="P19" s="19"/>
      <c r="Q19" s="46">
        <f t="shared" ref="Q19" si="16">SUM(Q17:Q18)</f>
        <v>-309.48399999999998</v>
      </c>
      <c r="R19" s="46">
        <f>SUM(R17:R18)</f>
        <v>2522</v>
      </c>
      <c r="S19" s="46">
        <f t="shared" si="3"/>
        <v>2831.4839999999999</v>
      </c>
      <c r="T19" s="19"/>
    </row>
    <row r="20" spans="2:20" x14ac:dyDescent="0.25">
      <c r="P20" s="19"/>
      <c r="T20" s="19"/>
    </row>
    <row r="21" spans="2:20" x14ac:dyDescent="0.25">
      <c r="B21" s="18"/>
      <c r="C21" s="31"/>
      <c r="D21" s="51"/>
      <c r="E21" s="51"/>
      <c r="F21" s="51"/>
      <c r="G21" s="51"/>
      <c r="H21" s="51"/>
      <c r="I21" s="51"/>
      <c r="J21" s="51"/>
      <c r="K21" s="51"/>
      <c r="M21" s="51"/>
      <c r="N21" s="51"/>
      <c r="O21" s="51"/>
      <c r="P21" s="19"/>
      <c r="Q21" s="51"/>
      <c r="R21" s="51"/>
      <c r="S21" s="51"/>
      <c r="T21" s="19"/>
    </row>
    <row r="22" spans="2:20" x14ac:dyDescent="0.25">
      <c r="B22" s="37" t="s">
        <v>72</v>
      </c>
      <c r="C22" s="38"/>
      <c r="D22" s="38"/>
      <c r="E22" s="38"/>
      <c r="F22" s="38"/>
      <c r="G22" s="38"/>
      <c r="H22" s="38"/>
      <c r="I22" s="38"/>
      <c r="J22" s="38"/>
      <c r="K22" s="6" t="str">
        <f>K2</f>
        <v>Değişim</v>
      </c>
      <c r="L22" s="39"/>
      <c r="M22" s="6" t="str">
        <f t="shared" ref="M22:O23" si="17">M2</f>
        <v>9A</v>
      </c>
      <c r="N22" s="6" t="str">
        <f t="shared" si="17"/>
        <v>9A</v>
      </c>
      <c r="O22" s="6" t="str">
        <f t="shared" si="17"/>
        <v>Değişim</v>
      </c>
      <c r="P22" s="19"/>
      <c r="Q22" s="6" t="str">
        <f t="shared" ref="Q22:S23" si="18">Q2</f>
        <v>3Ç</v>
      </c>
      <c r="R22" s="6" t="str">
        <f t="shared" si="18"/>
        <v>3Ç</v>
      </c>
      <c r="S22" s="6" t="str">
        <f t="shared" si="18"/>
        <v>Değişim</v>
      </c>
      <c r="T22" s="19"/>
    </row>
    <row r="23" spans="2:20" ht="15.75" thickBot="1" x14ac:dyDescent="0.3">
      <c r="B23" s="40" t="s">
        <v>62</v>
      </c>
      <c r="C23" s="41">
        <v>2014</v>
      </c>
      <c r="D23" s="41">
        <v>2015</v>
      </c>
      <c r="E23" s="41">
        <v>2016</v>
      </c>
      <c r="F23" s="41">
        <v>2017</v>
      </c>
      <c r="G23" s="41">
        <v>2018</v>
      </c>
      <c r="H23" s="41">
        <v>2019</v>
      </c>
      <c r="I23" s="9">
        <v>2020</v>
      </c>
      <c r="J23" s="9">
        <v>2021</v>
      </c>
      <c r="K23" s="9" t="str">
        <f>K3</f>
        <v>20-21</v>
      </c>
      <c r="L23" s="39"/>
      <c r="M23" s="9">
        <f t="shared" si="17"/>
        <v>2021</v>
      </c>
      <c r="N23" s="9">
        <f t="shared" si="17"/>
        <v>2022</v>
      </c>
      <c r="O23" s="10" t="s">
        <v>1</v>
      </c>
      <c r="P23" s="19"/>
      <c r="Q23" s="9">
        <f t="shared" si="18"/>
        <v>2021</v>
      </c>
      <c r="R23" s="9">
        <f t="shared" si="18"/>
        <v>2022</v>
      </c>
      <c r="S23" s="10" t="s">
        <v>1</v>
      </c>
      <c r="T23" s="19"/>
    </row>
    <row r="24" spans="2:20" x14ac:dyDescent="0.25">
      <c r="B24" s="18" t="s">
        <v>5</v>
      </c>
      <c r="C24" s="43" t="s">
        <v>2</v>
      </c>
      <c r="D24" s="43" t="s">
        <v>2</v>
      </c>
      <c r="E24" s="43" t="s">
        <v>2</v>
      </c>
      <c r="F24" s="43" t="s">
        <v>2</v>
      </c>
      <c r="G24" s="49">
        <v>16</v>
      </c>
      <c r="H24" s="49">
        <v>22</v>
      </c>
      <c r="I24" s="42">
        <v>26</v>
      </c>
      <c r="J24" s="42">
        <v>180</v>
      </c>
      <c r="K24" s="49">
        <f t="shared" ref="K24:K34" si="19">J24-I24</f>
        <v>154</v>
      </c>
      <c r="L24" s="47"/>
      <c r="M24" s="49">
        <v>177</v>
      </c>
      <c r="N24" s="49">
        <v>130</v>
      </c>
      <c r="O24" s="49">
        <f t="shared" ref="O24:O34" si="20">N24-M24</f>
        <v>-47</v>
      </c>
      <c r="P24" s="19"/>
      <c r="Q24" s="42">
        <v>122</v>
      </c>
      <c r="R24" s="42">
        <v>54</v>
      </c>
      <c r="S24" s="42">
        <f t="shared" ref="S24:S34" si="21">R24-Q24</f>
        <v>-68</v>
      </c>
      <c r="T24" s="19"/>
    </row>
    <row r="25" spans="2:20" x14ac:dyDescent="0.25">
      <c r="B25" s="18" t="s">
        <v>6</v>
      </c>
      <c r="C25" s="43" t="s">
        <v>2</v>
      </c>
      <c r="D25" s="43" t="s">
        <v>2</v>
      </c>
      <c r="E25" s="43" t="s">
        <v>2</v>
      </c>
      <c r="F25" s="43" t="s">
        <v>2</v>
      </c>
      <c r="G25" s="49">
        <v>-5</v>
      </c>
      <c r="H25" s="49">
        <v>-3</v>
      </c>
      <c r="I25" s="42">
        <v>-5</v>
      </c>
      <c r="J25" s="42">
        <v>-75</v>
      </c>
      <c r="K25" s="49">
        <f t="shared" si="19"/>
        <v>-70</v>
      </c>
      <c r="L25" s="47"/>
      <c r="M25" s="49">
        <v>-114</v>
      </c>
      <c r="N25" s="49">
        <v>-26</v>
      </c>
      <c r="O25" s="49">
        <f t="shared" si="20"/>
        <v>88</v>
      </c>
      <c r="P25" s="19"/>
      <c r="Q25" s="42">
        <v>-77</v>
      </c>
      <c r="R25" s="42">
        <v>-11</v>
      </c>
      <c r="S25" s="42">
        <f t="shared" si="21"/>
        <v>66</v>
      </c>
      <c r="T25" s="19"/>
    </row>
    <row r="26" spans="2:20" x14ac:dyDescent="0.25">
      <c r="B26" s="14" t="s">
        <v>73</v>
      </c>
      <c r="C26" s="52" t="s">
        <v>2</v>
      </c>
      <c r="D26" s="52" t="s">
        <v>2</v>
      </c>
      <c r="E26" s="52" t="s">
        <v>2</v>
      </c>
      <c r="F26" s="52" t="s">
        <v>2</v>
      </c>
      <c r="G26" s="46">
        <f t="shared" ref="G26:J26" si="22">SUM(G24:G25)</f>
        <v>11</v>
      </c>
      <c r="H26" s="46">
        <f t="shared" si="22"/>
        <v>19</v>
      </c>
      <c r="I26" s="46">
        <f t="shared" si="22"/>
        <v>21</v>
      </c>
      <c r="J26" s="46">
        <f t="shared" si="22"/>
        <v>105</v>
      </c>
      <c r="K26" s="46">
        <f t="shared" si="19"/>
        <v>84</v>
      </c>
      <c r="L26" s="47"/>
      <c r="M26" s="46">
        <f t="shared" ref="M26:N26" si="23">SUM(M24:M25)</f>
        <v>63</v>
      </c>
      <c r="N26" s="46">
        <f t="shared" si="23"/>
        <v>104</v>
      </c>
      <c r="O26" s="46">
        <f t="shared" si="20"/>
        <v>41</v>
      </c>
      <c r="P26" s="45"/>
      <c r="Q26" s="46">
        <f t="shared" ref="Q26:R26" si="24">SUM(Q24:Q25)</f>
        <v>45</v>
      </c>
      <c r="R26" s="46">
        <f t="shared" si="24"/>
        <v>43</v>
      </c>
      <c r="S26" s="46">
        <f t="shared" si="21"/>
        <v>-2</v>
      </c>
      <c r="T26" s="45"/>
    </row>
    <row r="27" spans="2:20" x14ac:dyDescent="0.25">
      <c r="B27" t="s">
        <v>8</v>
      </c>
      <c r="C27" s="43" t="s">
        <v>2</v>
      </c>
      <c r="D27" s="43" t="s">
        <v>2</v>
      </c>
      <c r="E27" s="43" t="s">
        <v>2</v>
      </c>
      <c r="F27" s="43" t="s">
        <v>2</v>
      </c>
      <c r="G27" s="49">
        <v>-8</v>
      </c>
      <c r="H27" s="49">
        <v>-18</v>
      </c>
      <c r="I27" s="42">
        <v>-16</v>
      </c>
      <c r="J27" s="42">
        <v>-23</v>
      </c>
      <c r="K27" s="49">
        <f t="shared" si="19"/>
        <v>-7</v>
      </c>
      <c r="L27" s="47"/>
      <c r="M27" s="49">
        <v>-15</v>
      </c>
      <c r="N27" s="42">
        <v>-47</v>
      </c>
      <c r="O27" s="49">
        <f t="shared" si="20"/>
        <v>-32</v>
      </c>
      <c r="P27" s="26"/>
      <c r="Q27" s="42">
        <v>-5</v>
      </c>
      <c r="R27" s="42">
        <v>-18</v>
      </c>
      <c r="S27" s="42">
        <f t="shared" si="21"/>
        <v>-13</v>
      </c>
      <c r="T27" s="26"/>
    </row>
    <row r="28" spans="2:20" x14ac:dyDescent="0.25">
      <c r="B28" t="s">
        <v>66</v>
      </c>
      <c r="C28" s="43" t="s">
        <v>2</v>
      </c>
      <c r="D28" s="43" t="s">
        <v>2</v>
      </c>
      <c r="E28" s="43" t="s">
        <v>2</v>
      </c>
      <c r="F28" s="43" t="s">
        <v>2</v>
      </c>
      <c r="G28" s="49">
        <v>0</v>
      </c>
      <c r="H28" s="49">
        <v>0</v>
      </c>
      <c r="I28" s="42">
        <v>-2</v>
      </c>
      <c r="J28" s="42">
        <v>-2</v>
      </c>
      <c r="K28" s="49">
        <f t="shared" si="19"/>
        <v>0</v>
      </c>
      <c r="L28" s="47"/>
      <c r="M28" s="49">
        <v>-1</v>
      </c>
      <c r="N28" s="42">
        <v>-3</v>
      </c>
      <c r="O28" s="49">
        <f t="shared" si="20"/>
        <v>-2</v>
      </c>
      <c r="P28" s="19"/>
      <c r="Q28" s="42">
        <v>0</v>
      </c>
      <c r="R28" s="42">
        <v>0</v>
      </c>
      <c r="S28" s="42">
        <f t="shared" si="21"/>
        <v>0</v>
      </c>
      <c r="T28" s="19"/>
    </row>
    <row r="29" spans="2:20" x14ac:dyDescent="0.25">
      <c r="B29" t="s">
        <v>34</v>
      </c>
      <c r="C29" s="43" t="s">
        <v>2</v>
      </c>
      <c r="D29" s="43" t="s">
        <v>2</v>
      </c>
      <c r="E29" s="43" t="s">
        <v>2</v>
      </c>
      <c r="F29" s="43" t="s">
        <v>2</v>
      </c>
      <c r="G29" s="49">
        <v>0</v>
      </c>
      <c r="H29" s="49">
        <v>0</v>
      </c>
      <c r="I29" s="42">
        <v>0</v>
      </c>
      <c r="J29" s="42">
        <v>-45</v>
      </c>
      <c r="K29" s="49">
        <f t="shared" si="19"/>
        <v>-45</v>
      </c>
      <c r="L29" s="47"/>
      <c r="M29" s="49">
        <v>-25</v>
      </c>
      <c r="N29" s="42">
        <v>13</v>
      </c>
      <c r="O29" s="49">
        <f t="shared" si="20"/>
        <v>38</v>
      </c>
      <c r="P29" s="19"/>
      <c r="Q29" s="42">
        <v>-23</v>
      </c>
      <c r="R29" s="42">
        <v>7</v>
      </c>
      <c r="S29" s="42">
        <f t="shared" si="21"/>
        <v>30</v>
      </c>
      <c r="T29" s="19"/>
    </row>
    <row r="30" spans="2:20" x14ac:dyDescent="0.25">
      <c r="B30" s="14" t="s">
        <v>24</v>
      </c>
      <c r="C30" s="52" t="s">
        <v>2</v>
      </c>
      <c r="D30" s="52" t="s">
        <v>2</v>
      </c>
      <c r="E30" s="52" t="s">
        <v>2</v>
      </c>
      <c r="F30" s="52" t="s">
        <v>2</v>
      </c>
      <c r="G30" s="46">
        <f t="shared" ref="G30:J30" si="25">SUM(G26:G29)</f>
        <v>3</v>
      </c>
      <c r="H30" s="46">
        <f t="shared" si="25"/>
        <v>1</v>
      </c>
      <c r="I30" s="46">
        <f t="shared" si="25"/>
        <v>3</v>
      </c>
      <c r="J30" s="46">
        <f t="shared" si="25"/>
        <v>35</v>
      </c>
      <c r="K30" s="46">
        <f t="shared" si="19"/>
        <v>32</v>
      </c>
      <c r="L30" s="47"/>
      <c r="M30" s="46">
        <f>SUM(M26:M29)</f>
        <v>22</v>
      </c>
      <c r="N30" s="46">
        <f>SUM(N26:N29)</f>
        <v>67</v>
      </c>
      <c r="O30" s="46">
        <f t="shared" si="20"/>
        <v>45</v>
      </c>
      <c r="P30" s="19"/>
      <c r="Q30" s="46">
        <f>SUM(Q26:Q29)</f>
        <v>17</v>
      </c>
      <c r="R30" s="46">
        <f>SUM(R26:R29)</f>
        <v>32</v>
      </c>
      <c r="S30" s="46">
        <f t="shared" si="21"/>
        <v>15</v>
      </c>
      <c r="T30" s="19"/>
    </row>
    <row r="31" spans="2:20" x14ac:dyDescent="0.25">
      <c r="B31" s="11" t="s">
        <v>71</v>
      </c>
      <c r="C31" s="43" t="s">
        <v>2</v>
      </c>
      <c r="D31" s="43" t="s">
        <v>2</v>
      </c>
      <c r="E31" s="43" t="s">
        <v>2</v>
      </c>
      <c r="F31" s="43" t="s">
        <v>2</v>
      </c>
      <c r="G31" s="42">
        <f>G32-G30</f>
        <v>-48</v>
      </c>
      <c r="H31" s="42">
        <f>H32-H30</f>
        <v>3</v>
      </c>
      <c r="I31" s="42">
        <f>I32-I30</f>
        <v>-5</v>
      </c>
      <c r="J31" s="42">
        <f>J32-J30</f>
        <v>-92</v>
      </c>
      <c r="K31" s="49">
        <f t="shared" si="19"/>
        <v>-87</v>
      </c>
      <c r="L31" s="47"/>
      <c r="M31" s="49">
        <v>-73</v>
      </c>
      <c r="N31" s="42">
        <v>-196</v>
      </c>
      <c r="O31" s="49">
        <f t="shared" si="20"/>
        <v>-123</v>
      </c>
      <c r="P31" s="19"/>
      <c r="Q31" s="42">
        <v>-49</v>
      </c>
      <c r="R31" s="42">
        <v>-118</v>
      </c>
      <c r="S31" s="42">
        <f t="shared" si="21"/>
        <v>-69</v>
      </c>
      <c r="T31" s="19"/>
    </row>
    <row r="32" spans="2:20" x14ac:dyDescent="0.25">
      <c r="B32" s="14" t="s">
        <v>45</v>
      </c>
      <c r="C32" s="52" t="s">
        <v>2</v>
      </c>
      <c r="D32" s="52" t="s">
        <v>2</v>
      </c>
      <c r="E32" s="52" t="s">
        <v>2</v>
      </c>
      <c r="F32" s="52" t="s">
        <v>2</v>
      </c>
      <c r="G32" s="46">
        <v>-45</v>
      </c>
      <c r="H32" s="46">
        <v>4</v>
      </c>
      <c r="I32" s="46">
        <v>-2</v>
      </c>
      <c r="J32" s="46">
        <v>-57</v>
      </c>
      <c r="K32" s="46">
        <f t="shared" si="19"/>
        <v>-55</v>
      </c>
      <c r="L32" s="47"/>
      <c r="M32" s="46">
        <f t="shared" ref="M32" si="26">SUM(M30:M31)</f>
        <v>-51</v>
      </c>
      <c r="N32" s="46">
        <f t="shared" ref="N32" si="27">SUM(N30:N31)</f>
        <v>-129</v>
      </c>
      <c r="O32" s="46">
        <f t="shared" si="20"/>
        <v>-78</v>
      </c>
      <c r="P32" s="19"/>
      <c r="Q32" s="46">
        <f t="shared" ref="Q32" si="28">SUM(Q30:Q31)</f>
        <v>-32</v>
      </c>
      <c r="R32" s="46">
        <f t="shared" ref="R32" si="29">SUM(R30:R31)</f>
        <v>-86</v>
      </c>
      <c r="S32" s="46">
        <f t="shared" si="21"/>
        <v>-54</v>
      </c>
      <c r="T32" s="19"/>
    </row>
    <row r="33" spans="2:20" x14ac:dyDescent="0.25">
      <c r="B33" s="11" t="s">
        <v>46</v>
      </c>
      <c r="C33" s="43" t="s">
        <v>2</v>
      </c>
      <c r="D33" s="43" t="s">
        <v>2</v>
      </c>
      <c r="E33" s="43" t="s">
        <v>2</v>
      </c>
      <c r="F33" s="43" t="s">
        <v>2</v>
      </c>
      <c r="G33" s="49">
        <v>-6</v>
      </c>
      <c r="H33" s="49">
        <v>-4</v>
      </c>
      <c r="I33" s="42">
        <v>-1</v>
      </c>
      <c r="J33" s="42">
        <v>-28</v>
      </c>
      <c r="K33" s="49">
        <f t="shared" si="19"/>
        <v>-27</v>
      </c>
      <c r="L33" s="47"/>
      <c r="M33" s="49">
        <v>-3</v>
      </c>
      <c r="N33" s="42">
        <v>-34</v>
      </c>
      <c r="O33" s="49">
        <f t="shared" si="20"/>
        <v>-31</v>
      </c>
      <c r="P33" s="19"/>
      <c r="Q33" s="42">
        <v>-1</v>
      </c>
      <c r="R33" s="42">
        <v>-8</v>
      </c>
      <c r="S33" s="42">
        <f t="shared" si="21"/>
        <v>-7</v>
      </c>
      <c r="T33" s="19"/>
    </row>
    <row r="34" spans="2:20" x14ac:dyDescent="0.25">
      <c r="B34" s="14" t="s">
        <v>47</v>
      </c>
      <c r="C34" s="52" t="s">
        <v>2</v>
      </c>
      <c r="D34" s="52" t="s">
        <v>2</v>
      </c>
      <c r="E34" s="52" t="s">
        <v>2</v>
      </c>
      <c r="F34" s="52" t="s">
        <v>2</v>
      </c>
      <c r="G34" s="46">
        <f t="shared" ref="G34:J34" si="30">SUM(G32:G33)</f>
        <v>-51</v>
      </c>
      <c r="H34" s="46">
        <f t="shared" si="30"/>
        <v>0</v>
      </c>
      <c r="I34" s="46">
        <f t="shared" si="30"/>
        <v>-3</v>
      </c>
      <c r="J34" s="46">
        <f t="shared" si="30"/>
        <v>-85</v>
      </c>
      <c r="K34" s="46">
        <f t="shared" si="19"/>
        <v>-82</v>
      </c>
      <c r="L34" s="47"/>
      <c r="M34" s="46">
        <f t="shared" ref="M34:N34" si="31">SUM(M32:M33)</f>
        <v>-54</v>
      </c>
      <c r="N34" s="46">
        <f t="shared" si="31"/>
        <v>-163</v>
      </c>
      <c r="O34" s="46">
        <f t="shared" si="20"/>
        <v>-109</v>
      </c>
      <c r="P34" s="19"/>
      <c r="Q34" s="46">
        <f t="shared" ref="Q34:R34" si="32">SUM(Q32:Q33)</f>
        <v>-33</v>
      </c>
      <c r="R34" s="46">
        <f t="shared" si="32"/>
        <v>-94</v>
      </c>
      <c r="S34" s="46">
        <f t="shared" si="21"/>
        <v>-61</v>
      </c>
      <c r="T34" s="19"/>
    </row>
    <row r="35" spans="2:20" x14ac:dyDescent="0.25">
      <c r="B35" s="18"/>
      <c r="C35" s="31"/>
      <c r="D35" s="51"/>
      <c r="E35" s="51"/>
      <c r="F35" s="51"/>
      <c r="G35" s="51"/>
      <c r="H35" s="51"/>
      <c r="I35" s="51"/>
      <c r="J35" s="51"/>
      <c r="K35" s="51"/>
      <c r="M35" s="51"/>
      <c r="N35" s="51"/>
      <c r="O35" s="51"/>
      <c r="P35" s="19"/>
      <c r="Q35" s="51"/>
      <c r="R35" s="51"/>
      <c r="S35" s="51"/>
      <c r="T35" s="19"/>
    </row>
    <row r="36" spans="2:20" x14ac:dyDescent="0.25">
      <c r="B36" s="18"/>
      <c r="C36" s="31"/>
      <c r="D36" s="51"/>
      <c r="E36" s="51"/>
      <c r="F36" s="51"/>
      <c r="G36" s="51"/>
      <c r="H36" s="51"/>
      <c r="I36" s="51"/>
      <c r="J36" s="51"/>
      <c r="K36" s="51"/>
      <c r="M36" s="51"/>
      <c r="N36" s="51"/>
      <c r="O36" s="51"/>
      <c r="P36" s="19"/>
      <c r="Q36" s="51"/>
      <c r="R36" s="51"/>
      <c r="S36" s="51"/>
      <c r="T36" s="19"/>
    </row>
    <row r="37" spans="2:20" x14ac:dyDescent="0.25">
      <c r="B37" s="37" t="s">
        <v>74</v>
      </c>
      <c r="C37" s="38"/>
      <c r="D37" s="38"/>
      <c r="E37" s="38"/>
      <c r="F37" s="38"/>
      <c r="G37" s="38"/>
      <c r="H37" s="38"/>
      <c r="I37" s="38"/>
      <c r="J37" s="38"/>
      <c r="K37" s="6" t="str">
        <f>K2</f>
        <v>Değişim</v>
      </c>
      <c r="L37" s="39"/>
      <c r="M37" s="6" t="str">
        <f t="shared" ref="M37:O38" si="33">M2</f>
        <v>9A</v>
      </c>
      <c r="N37" s="6" t="str">
        <f t="shared" si="33"/>
        <v>9A</v>
      </c>
      <c r="O37" s="6" t="str">
        <f t="shared" si="33"/>
        <v>Değişim</v>
      </c>
      <c r="P37" s="19"/>
      <c r="Q37" s="51"/>
      <c r="R37" s="51"/>
      <c r="S37" s="51"/>
      <c r="T37" s="19"/>
    </row>
    <row r="38" spans="2:20" ht="15.75" thickBot="1" x14ac:dyDescent="0.3">
      <c r="B38" s="40" t="s">
        <v>75</v>
      </c>
      <c r="C38" s="41">
        <v>2014</v>
      </c>
      <c r="D38" s="41">
        <v>2015</v>
      </c>
      <c r="E38" s="41">
        <v>2016</v>
      </c>
      <c r="F38" s="41">
        <v>2017</v>
      </c>
      <c r="G38" s="41">
        <v>2018</v>
      </c>
      <c r="H38" s="41">
        <v>2019</v>
      </c>
      <c r="I38" s="9">
        <v>2020</v>
      </c>
      <c r="J38" s="9">
        <v>2021</v>
      </c>
      <c r="K38" s="10" t="str">
        <f>K3</f>
        <v>20-21</v>
      </c>
      <c r="L38" s="39"/>
      <c r="M38" s="9">
        <f t="shared" si="33"/>
        <v>2021</v>
      </c>
      <c r="N38" s="9">
        <f t="shared" si="33"/>
        <v>2022</v>
      </c>
      <c r="O38" s="10" t="s">
        <v>1</v>
      </c>
      <c r="P38" s="19"/>
      <c r="Q38" s="51"/>
      <c r="R38" s="51"/>
      <c r="S38" s="51"/>
      <c r="T38" s="19"/>
    </row>
    <row r="39" spans="2:20" x14ac:dyDescent="0.25">
      <c r="B39" s="14" t="s">
        <v>76</v>
      </c>
      <c r="C39" s="53">
        <v>37.245713618483506</v>
      </c>
      <c r="D39" s="53">
        <v>39.558602184691004</v>
      </c>
      <c r="E39" s="53">
        <v>32.903756477842002</v>
      </c>
      <c r="F39" s="53">
        <v>35.228710832170989</v>
      </c>
      <c r="G39" s="53">
        <v>41.1</v>
      </c>
      <c r="H39" s="53">
        <v>36.132996654258996</v>
      </c>
      <c r="I39" s="53">
        <f t="shared" ref="I39:J39" si="34">SUM(I40,I41)</f>
        <v>34.025807318312005</v>
      </c>
      <c r="J39" s="53">
        <f t="shared" si="34"/>
        <v>35.812751122135055</v>
      </c>
      <c r="K39" s="53">
        <f t="shared" ref="K39:K54" si="35">J39-I39</f>
        <v>1.7869438038230498</v>
      </c>
      <c r="L39" s="29"/>
      <c r="M39" s="53">
        <f t="shared" ref="M39:N39" si="36">SUM(M40,M41)</f>
        <v>26.866297194713709</v>
      </c>
      <c r="N39" s="53">
        <f t="shared" si="36"/>
        <v>29.969199538711262</v>
      </c>
      <c r="O39" s="53">
        <f t="shared" ref="O39:O51" si="37">N39-M39</f>
        <v>3.1029023439975525</v>
      </c>
      <c r="P39" s="20"/>
      <c r="Q39" s="51"/>
      <c r="R39" s="51"/>
      <c r="S39" s="51"/>
      <c r="T39" s="20"/>
    </row>
    <row r="40" spans="2:20" x14ac:dyDescent="0.25">
      <c r="B40" s="32" t="s">
        <v>77</v>
      </c>
      <c r="C40" s="54">
        <v>28.962274929221586</v>
      </c>
      <c r="D40" s="54">
        <v>27.349812704372003</v>
      </c>
      <c r="E40" s="54">
        <v>20.874515424179002</v>
      </c>
      <c r="F40" s="54">
        <v>24.291999056274001</v>
      </c>
      <c r="G40" s="54">
        <v>37.1</v>
      </c>
      <c r="H40" s="54">
        <v>32.377175923458999</v>
      </c>
      <c r="I40" s="54">
        <v>25.880518444320998</v>
      </c>
      <c r="J40" s="54">
        <v>23.318894698452002</v>
      </c>
      <c r="K40" s="54">
        <f t="shared" si="35"/>
        <v>-2.5616237458689959</v>
      </c>
      <c r="L40" s="29"/>
      <c r="M40" s="54">
        <v>18.009885977365915</v>
      </c>
      <c r="N40" s="54">
        <v>21.078199963404497</v>
      </c>
      <c r="O40" s="54">
        <f t="shared" si="37"/>
        <v>3.0683139860385822</v>
      </c>
      <c r="P40" s="55"/>
      <c r="Q40" s="51"/>
      <c r="R40" s="51"/>
      <c r="S40" s="51"/>
      <c r="T40" s="55"/>
    </row>
    <row r="41" spans="2:20" x14ac:dyDescent="0.25">
      <c r="B41" s="32" t="s">
        <v>78</v>
      </c>
      <c r="C41" s="54">
        <v>8.2834386892619207</v>
      </c>
      <c r="D41" s="54">
        <v>12.208789480319004</v>
      </c>
      <c r="E41" s="54">
        <v>12.029241053663002</v>
      </c>
      <c r="F41" s="54">
        <v>10.936711775896992</v>
      </c>
      <c r="G41" s="54">
        <v>4</v>
      </c>
      <c r="H41" s="54">
        <v>3.7558207307999991</v>
      </c>
      <c r="I41" s="54">
        <f>SUM(I42:I43)</f>
        <v>8.1452888739910048</v>
      </c>
      <c r="J41" s="54">
        <f>SUM(J42:J43)</f>
        <v>12.493856423683049</v>
      </c>
      <c r="K41" s="54">
        <f t="shared" si="35"/>
        <v>4.348567549692044</v>
      </c>
      <c r="L41" s="29"/>
      <c r="M41" s="54">
        <f t="shared" ref="M41:N41" si="38">SUM(M42:M43)</f>
        <v>8.8564112173477927</v>
      </c>
      <c r="N41" s="54">
        <f t="shared" si="38"/>
        <v>8.8909995753067648</v>
      </c>
      <c r="O41" s="54">
        <f t="shared" si="37"/>
        <v>3.4588357958972082E-2</v>
      </c>
      <c r="P41" s="55"/>
      <c r="Q41" s="51"/>
      <c r="R41" s="51"/>
      <c r="S41" s="51"/>
      <c r="T41" s="55"/>
    </row>
    <row r="42" spans="2:20" x14ac:dyDescent="0.25">
      <c r="B42" s="56" t="s">
        <v>79</v>
      </c>
      <c r="C42" s="54" t="s">
        <v>4</v>
      </c>
      <c r="D42" s="54">
        <v>8.9063157106120006</v>
      </c>
      <c r="E42" s="54">
        <v>7.1950076682160011</v>
      </c>
      <c r="F42" s="54">
        <v>3.3364558057319993</v>
      </c>
      <c r="G42" s="54">
        <v>2.9</v>
      </c>
      <c r="H42" s="54">
        <v>3.5907539999558415</v>
      </c>
      <c r="I42" s="54">
        <v>6.3704093762012066</v>
      </c>
      <c r="J42" s="54">
        <v>9.269036355767323</v>
      </c>
      <c r="K42" s="54">
        <f t="shared" si="35"/>
        <v>2.8986269795661164</v>
      </c>
      <c r="L42" s="29"/>
      <c r="M42" s="54">
        <v>6.484369047480425</v>
      </c>
      <c r="N42" s="54">
        <v>7.7816405872358825</v>
      </c>
      <c r="O42" s="54">
        <f t="shared" si="37"/>
        <v>1.2972715397554575</v>
      </c>
      <c r="P42" s="19"/>
      <c r="Q42" s="51"/>
      <c r="R42" s="51"/>
      <c r="S42" s="51"/>
      <c r="T42" s="19"/>
    </row>
    <row r="43" spans="2:20" x14ac:dyDescent="0.25">
      <c r="B43" s="56" t="s">
        <v>80</v>
      </c>
      <c r="C43" s="54" t="s">
        <v>4</v>
      </c>
      <c r="D43" s="54">
        <v>3.3024737697070026</v>
      </c>
      <c r="E43" s="54">
        <v>4.8342333854470008</v>
      </c>
      <c r="F43" s="54">
        <v>7.6002559701649934</v>
      </c>
      <c r="G43" s="54">
        <v>1.1000000000000001</v>
      </c>
      <c r="H43" s="54">
        <v>0.16506673084415777</v>
      </c>
      <c r="I43" s="54">
        <v>1.7748794977897988</v>
      </c>
      <c r="J43" s="54">
        <v>3.2248200679157262</v>
      </c>
      <c r="K43" s="54">
        <f t="shared" si="35"/>
        <v>1.4499405701259274</v>
      </c>
      <c r="L43" s="29"/>
      <c r="M43" s="54">
        <v>2.3720421698673682</v>
      </c>
      <c r="N43" s="54">
        <v>1.1093589880708814</v>
      </c>
      <c r="O43" s="54">
        <f t="shared" si="37"/>
        <v>-1.2626831817964868</v>
      </c>
      <c r="P43" s="19"/>
      <c r="Q43" s="51"/>
      <c r="R43" s="51"/>
      <c r="S43" s="51"/>
      <c r="T43" s="19"/>
    </row>
    <row r="44" spans="2:20" x14ac:dyDescent="0.25">
      <c r="B44" s="14" t="s">
        <v>81</v>
      </c>
      <c r="C44" s="85">
        <v>3.9133322742656317E-2</v>
      </c>
      <c r="D44" s="85">
        <v>4.9333873492460566E-2</v>
      </c>
      <c r="E44" s="85">
        <v>5.4737501573004659E-2</v>
      </c>
      <c r="F44" s="85">
        <v>3.9050053073616864E-2</v>
      </c>
      <c r="G44" s="85">
        <v>5.9027842361998019E-2</v>
      </c>
      <c r="H44" s="85">
        <v>6.0020658875154141E-2</v>
      </c>
      <c r="I44" s="85">
        <v>8.4533157533862424E-2</v>
      </c>
      <c r="J44" s="85">
        <v>5.77895474971293E-2</v>
      </c>
      <c r="K44" s="85">
        <f t="shared" si="35"/>
        <v>-2.6743610036733124E-2</v>
      </c>
      <c r="L44" s="86"/>
      <c r="M44" s="85">
        <v>6.9363155590404013E-2</v>
      </c>
      <c r="N44" s="85">
        <v>5.9315168159342013E-2</v>
      </c>
      <c r="O44" s="85">
        <f t="shared" si="37"/>
        <v>-1.0047987431062E-2</v>
      </c>
      <c r="P44" s="19"/>
      <c r="Q44" s="51"/>
      <c r="R44" s="51"/>
      <c r="S44" s="51"/>
      <c r="T44" s="19"/>
    </row>
    <row r="45" spans="2:20" x14ac:dyDescent="0.25">
      <c r="B45" s="32" t="s">
        <v>82</v>
      </c>
      <c r="C45" s="87">
        <v>4.9000000000000002E-2</v>
      </c>
      <c r="D45" s="87">
        <v>5.2999999999999999E-2</v>
      </c>
      <c r="E45" s="87">
        <v>6.828999471259696E-2</v>
      </c>
      <c r="F45" s="87">
        <v>6.4115195796117422E-2</v>
      </c>
      <c r="G45" s="87">
        <v>6.0376249903696826E-2</v>
      </c>
      <c r="H45" s="87">
        <v>5.772503441450276E-2</v>
      </c>
      <c r="I45" s="87">
        <v>6.9048880775099172E-2</v>
      </c>
      <c r="J45" s="87">
        <v>7.7797342225877017E-2</v>
      </c>
      <c r="K45" s="87">
        <f t="shared" si="35"/>
        <v>8.7484614507778447E-3</v>
      </c>
      <c r="L45" s="86"/>
      <c r="M45" s="87">
        <v>7.9466725171288388E-2</v>
      </c>
      <c r="N45" s="87">
        <v>7.2108925365364063E-2</v>
      </c>
      <c r="O45" s="87">
        <f t="shared" si="37"/>
        <v>-7.3577998059243255E-3</v>
      </c>
      <c r="P45" s="19"/>
      <c r="Q45" s="51"/>
      <c r="R45" s="51"/>
      <c r="S45" s="51"/>
      <c r="T45" s="19"/>
    </row>
    <row r="46" spans="2:20" x14ac:dyDescent="0.25">
      <c r="B46" s="32" t="s">
        <v>83</v>
      </c>
      <c r="C46" s="87">
        <v>1.5956052107020148E-2</v>
      </c>
      <c r="D46" s="87">
        <v>3.4782791462702335E-2</v>
      </c>
      <c r="E46" s="87">
        <v>6.1844693546392118E-2</v>
      </c>
      <c r="F46" s="87">
        <v>3.4665760081680916E-2</v>
      </c>
      <c r="G46" s="87">
        <v>3.9523182832020894E-2</v>
      </c>
      <c r="H46" s="87">
        <v>6.5470543587143937E-2</v>
      </c>
      <c r="I46" s="87">
        <v>0.12871665987550968</v>
      </c>
      <c r="J46" s="87">
        <v>2.2358776611433869E-2</v>
      </c>
      <c r="K46" s="87">
        <f t="shared" si="35"/>
        <v>-0.1063578832640758</v>
      </c>
      <c r="L46" s="86"/>
      <c r="M46" s="87">
        <v>5.1022509914023469E-2</v>
      </c>
      <c r="N46" s="87">
        <v>3.4087371672486676E-2</v>
      </c>
      <c r="O46" s="87">
        <f t="shared" si="37"/>
        <v>-1.6935138241536793E-2</v>
      </c>
      <c r="P46" s="19"/>
      <c r="Q46" s="51"/>
      <c r="R46" s="51"/>
      <c r="S46" s="51"/>
      <c r="T46" s="19"/>
    </row>
    <row r="47" spans="2:20" x14ac:dyDescent="0.25">
      <c r="B47" s="56" t="s">
        <v>79</v>
      </c>
      <c r="C47" s="87" t="s">
        <v>4</v>
      </c>
      <c r="D47" s="87">
        <v>-2.6981660315782374E-2</v>
      </c>
      <c r="E47" s="87">
        <v>-7.0000000000000001E-3</v>
      </c>
      <c r="F47" s="87">
        <v>1.5093774718429062E-2</v>
      </c>
      <c r="G47" s="87">
        <v>3.1112406761257396E-2</v>
      </c>
      <c r="H47" s="87">
        <v>5.5955058949575705E-2</v>
      </c>
      <c r="I47" s="87">
        <v>9.6848909910970699E-2</v>
      </c>
      <c r="J47" s="87">
        <v>3.5827192967736311E-3</v>
      </c>
      <c r="K47" s="87">
        <f t="shared" si="35"/>
        <v>-9.3266190614197067E-2</v>
      </c>
      <c r="L47" s="86"/>
      <c r="M47" s="87">
        <v>1.1411966725335445E-2</v>
      </c>
      <c r="N47" s="87">
        <v>3.6741447236019881E-2</v>
      </c>
      <c r="O47" s="87">
        <f t="shared" si="37"/>
        <v>2.5329480510684434E-2</v>
      </c>
      <c r="P47" s="19"/>
      <c r="Q47" s="51"/>
      <c r="R47" s="51"/>
      <c r="S47" s="51"/>
      <c r="T47" s="19"/>
    </row>
    <row r="48" spans="2:20" x14ac:dyDescent="0.25">
      <c r="B48" s="56" t="s">
        <v>80</v>
      </c>
      <c r="C48" s="87" t="s">
        <v>4</v>
      </c>
      <c r="D48" s="87">
        <v>0.17530217323365427</v>
      </c>
      <c r="E48" s="87">
        <v>0.15355213882183802</v>
      </c>
      <c r="F48" s="87">
        <v>4.0959191354374008E-2</v>
      </c>
      <c r="G48" s="87">
        <v>6.5729377574179806E-2</v>
      </c>
      <c r="H48" s="87" t="s">
        <v>4</v>
      </c>
      <c r="I48" s="87">
        <v>0.22364562460322399</v>
      </c>
      <c r="J48" s="87">
        <v>7.8918090897997353E-2</v>
      </c>
      <c r="K48" s="87">
        <f t="shared" si="35"/>
        <v>-0.14472753370522662</v>
      </c>
      <c r="L48" s="86"/>
      <c r="M48" s="87">
        <v>0.13856262483822235</v>
      </c>
      <c r="N48" s="87">
        <v>-4.5745999685839193E-2</v>
      </c>
      <c r="O48" s="87">
        <f t="shared" si="37"/>
        <v>-0.18430862452406155</v>
      </c>
      <c r="P48" s="19"/>
      <c r="Q48" s="51"/>
      <c r="R48" s="51"/>
      <c r="S48" s="51"/>
      <c r="T48" s="19"/>
    </row>
    <row r="49" spans="2:20" x14ac:dyDescent="0.25">
      <c r="B49" s="57" t="s">
        <v>34</v>
      </c>
      <c r="C49" s="58"/>
      <c r="D49" s="58"/>
      <c r="E49" s="58"/>
      <c r="F49" s="58"/>
      <c r="G49" s="58"/>
      <c r="H49" s="58"/>
      <c r="I49" s="58"/>
      <c r="J49" s="58"/>
      <c r="K49" s="58"/>
      <c r="L49" s="29"/>
      <c r="M49" s="58"/>
      <c r="N49" s="58"/>
      <c r="O49" s="58"/>
      <c r="P49" s="19"/>
      <c r="Q49" s="51"/>
      <c r="R49" s="51"/>
      <c r="S49" s="51"/>
      <c r="T49" s="19"/>
    </row>
    <row r="50" spans="2:20" x14ac:dyDescent="0.25">
      <c r="B50" s="59" t="s">
        <v>84</v>
      </c>
      <c r="C50" s="54">
        <v>8.8264359999999993</v>
      </c>
      <c r="D50" s="54">
        <v>8.9264510000000001</v>
      </c>
      <c r="E50" s="54">
        <v>8.9866869999999999</v>
      </c>
      <c r="F50" s="54">
        <v>9.1999999999999993</v>
      </c>
      <c r="G50" s="54">
        <v>9.554451000000002</v>
      </c>
      <c r="H50" s="54">
        <v>9.9399669999999993</v>
      </c>
      <c r="I50" s="54">
        <v>10.1</v>
      </c>
      <c r="J50" s="54">
        <v>10.331613000000001</v>
      </c>
      <c r="K50" s="54">
        <f t="shared" si="35"/>
        <v>0.23161300000000118</v>
      </c>
      <c r="L50" s="29"/>
      <c r="M50" s="54">
        <v>10.261785</v>
      </c>
      <c r="N50" s="54">
        <v>10.490181</v>
      </c>
      <c r="O50" s="54">
        <f t="shared" si="37"/>
        <v>0.22839600000000004</v>
      </c>
      <c r="P50" s="19"/>
      <c r="Q50" s="51"/>
      <c r="R50" s="51"/>
      <c r="S50" s="51"/>
      <c r="T50" s="19"/>
    </row>
    <row r="51" spans="2:20" x14ac:dyDescent="0.25">
      <c r="B51" s="18" t="s">
        <v>85</v>
      </c>
      <c r="C51" s="87">
        <v>8.9999999999999993E-3</v>
      </c>
      <c r="D51" s="87">
        <v>0.03</v>
      </c>
      <c r="E51" s="87">
        <v>2.9000000000000001E-2</v>
      </c>
      <c r="F51" s="87">
        <v>1.2E-2</v>
      </c>
      <c r="G51" s="87">
        <v>6.0205476142579789E-3</v>
      </c>
      <c r="H51" s="87">
        <v>3.6101046262642012E-4</v>
      </c>
      <c r="I51" s="87">
        <v>6.7619679399469291E-5</v>
      </c>
      <c r="J51" s="87">
        <v>1.6990459527584027E-3</v>
      </c>
      <c r="K51" s="87">
        <f t="shared" si="35"/>
        <v>1.6314262733589334E-3</v>
      </c>
      <c r="L51" s="86"/>
      <c r="M51" s="87">
        <v>1.1193474141819619E-3</v>
      </c>
      <c r="N51" s="87">
        <v>8.1440319143505401E-4</v>
      </c>
      <c r="O51" s="87">
        <f t="shared" si="37"/>
        <v>-3.0494422274690786E-4</v>
      </c>
      <c r="P51" s="19"/>
      <c r="Q51" s="51"/>
      <c r="R51" s="51"/>
      <c r="S51" s="51"/>
      <c r="T51" s="19"/>
    </row>
    <row r="52" spans="2:20" x14ac:dyDescent="0.25">
      <c r="B52" s="57" t="s">
        <v>86</v>
      </c>
      <c r="C52" s="58"/>
      <c r="D52" s="58"/>
      <c r="E52" s="58"/>
      <c r="F52" s="58"/>
      <c r="G52" s="58"/>
      <c r="H52" s="58"/>
      <c r="I52" s="58"/>
      <c r="J52" s="58"/>
      <c r="K52" s="58"/>
      <c r="L52" s="29"/>
      <c r="M52" s="53"/>
      <c r="N52" s="53"/>
      <c r="O52" s="53"/>
      <c r="Q52" s="51"/>
      <c r="R52" s="51"/>
      <c r="S52" s="51"/>
    </row>
    <row r="53" spans="2:20" x14ac:dyDescent="0.25">
      <c r="B53" t="s">
        <v>87</v>
      </c>
      <c r="C53" s="43" t="s">
        <v>2</v>
      </c>
      <c r="D53" s="43" t="s">
        <v>2</v>
      </c>
      <c r="E53" s="43" t="s">
        <v>2</v>
      </c>
      <c r="F53" s="60">
        <v>9.1999999999999993</v>
      </c>
      <c r="G53" s="60">
        <v>9.1999999999999993</v>
      </c>
      <c r="H53" s="60">
        <v>9.1999999999999993</v>
      </c>
      <c r="I53" s="60">
        <v>9.1999999999999993</v>
      </c>
      <c r="J53" s="60">
        <v>22.608579999999996</v>
      </c>
      <c r="K53" s="54">
        <f t="shared" si="35"/>
        <v>13.408579999999997</v>
      </c>
      <c r="M53" s="54">
        <v>12.5153</v>
      </c>
      <c r="N53" s="54">
        <v>22.608579999999996</v>
      </c>
      <c r="O53" s="54">
        <f t="shared" ref="O53:O54" si="39">N53-M53</f>
        <v>10.093279999999996</v>
      </c>
      <c r="Q53" s="51"/>
      <c r="R53" s="51"/>
      <c r="S53" s="51"/>
    </row>
    <row r="54" spans="2:20" x14ac:dyDescent="0.25">
      <c r="B54" t="s">
        <v>88</v>
      </c>
      <c r="C54" s="43" t="s">
        <v>2</v>
      </c>
      <c r="D54" s="43" t="s">
        <v>2</v>
      </c>
      <c r="E54" s="43" t="s">
        <v>2</v>
      </c>
      <c r="F54">
        <v>3.8</v>
      </c>
      <c r="G54">
        <v>3.8</v>
      </c>
      <c r="H54">
        <v>3.8</v>
      </c>
      <c r="I54">
        <v>3.8</v>
      </c>
      <c r="J54">
        <v>3.8</v>
      </c>
      <c r="K54" s="54">
        <f t="shared" si="35"/>
        <v>0</v>
      </c>
      <c r="M54">
        <v>3.8</v>
      </c>
      <c r="N54">
        <v>3.8</v>
      </c>
      <c r="O54" s="54">
        <f t="shared" si="39"/>
        <v>0</v>
      </c>
      <c r="Q54" s="51"/>
      <c r="R54" s="51"/>
      <c r="S54" s="51"/>
    </row>
    <row r="55" spans="2:20" x14ac:dyDescent="0.25">
      <c r="B55" s="57" t="s">
        <v>89</v>
      </c>
      <c r="C55" s="58"/>
      <c r="D55" s="58"/>
      <c r="E55" s="58"/>
      <c r="F55" s="58"/>
      <c r="G55" s="58"/>
      <c r="H55" s="58"/>
      <c r="I55" s="58"/>
      <c r="J55" s="58"/>
      <c r="K55" s="58"/>
      <c r="L55" s="29"/>
      <c r="M55" s="53"/>
      <c r="N55" s="53"/>
      <c r="O55" s="53"/>
      <c r="Q55" s="51"/>
      <c r="R55" s="51"/>
      <c r="S55" s="51"/>
    </row>
    <row r="56" spans="2:20" x14ac:dyDescent="0.25">
      <c r="B56" s="3" t="s">
        <v>90</v>
      </c>
      <c r="C56" s="43" t="s">
        <v>2</v>
      </c>
      <c r="D56" s="43" t="s">
        <v>2</v>
      </c>
      <c r="E56" s="43" t="s">
        <v>2</v>
      </c>
      <c r="F56">
        <v>131</v>
      </c>
      <c r="G56">
        <v>188</v>
      </c>
      <c r="H56">
        <v>256</v>
      </c>
      <c r="I56">
        <v>301</v>
      </c>
      <c r="J56">
        <v>494</v>
      </c>
      <c r="K56" s="42">
        <f t="shared" ref="K56:K57" si="40">J56-I56</f>
        <v>193</v>
      </c>
      <c r="M56">
        <v>434</v>
      </c>
      <c r="N56">
        <v>603</v>
      </c>
      <c r="O56" s="42">
        <f t="shared" ref="O56:O57" si="41">N56-M56</f>
        <v>169</v>
      </c>
      <c r="Q56" s="51"/>
      <c r="R56" s="51"/>
      <c r="S56" s="51"/>
    </row>
    <row r="57" spans="2:20" x14ac:dyDescent="0.25">
      <c r="B57" s="3" t="s">
        <v>91</v>
      </c>
      <c r="C57" s="43" t="s">
        <v>2</v>
      </c>
      <c r="D57" s="43" t="s">
        <v>2</v>
      </c>
      <c r="E57" s="43" t="s">
        <v>2</v>
      </c>
      <c r="F57">
        <v>80</v>
      </c>
      <c r="G57">
        <v>111</v>
      </c>
      <c r="H57">
        <v>147</v>
      </c>
      <c r="I57">
        <v>173</v>
      </c>
      <c r="J57">
        <v>263</v>
      </c>
      <c r="K57" s="42">
        <f t="shared" si="40"/>
        <v>90</v>
      </c>
      <c r="M57">
        <v>234</v>
      </c>
      <c r="N57">
        <v>322</v>
      </c>
      <c r="O57" s="42">
        <f t="shared" si="41"/>
        <v>88</v>
      </c>
      <c r="Q57" s="51"/>
      <c r="R57" s="51"/>
      <c r="S57" s="51"/>
    </row>
    <row r="58" spans="2:20" x14ac:dyDescent="0.25">
      <c r="B58" s="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51"/>
      <c r="R58" s="51"/>
      <c r="S58" s="51"/>
      <c r="T58" s="43"/>
    </row>
    <row r="59" spans="2:20" x14ac:dyDescent="0.25">
      <c r="Q59" s="51"/>
      <c r="R59" s="51"/>
      <c r="S59" s="51"/>
    </row>
    <row r="60" spans="2:20" x14ac:dyDescent="0.25">
      <c r="Q60" s="51"/>
      <c r="R60" s="51"/>
      <c r="S60" s="51"/>
    </row>
    <row r="61" spans="2:20" x14ac:dyDescent="0.25">
      <c r="Q61" s="51"/>
      <c r="R61" s="51"/>
      <c r="S61" s="51"/>
    </row>
    <row r="62" spans="2:20" x14ac:dyDescent="0.25">
      <c r="Q62" s="51"/>
      <c r="R62" s="51"/>
      <c r="S62" s="51"/>
    </row>
    <row r="63" spans="2:20" x14ac:dyDescent="0.25">
      <c r="Q63" s="51"/>
      <c r="R63" s="51"/>
      <c r="S63" s="51"/>
    </row>
    <row r="64" spans="2:20" x14ac:dyDescent="0.25">
      <c r="Q64" s="51"/>
      <c r="R64" s="51"/>
      <c r="S64" s="51"/>
    </row>
    <row r="65" spans="17:19" x14ac:dyDescent="0.25">
      <c r="Q65" s="51"/>
      <c r="R65" s="51"/>
      <c r="S65" s="51"/>
    </row>
    <row r="66" spans="17:19" x14ac:dyDescent="0.25">
      <c r="Q66" s="51"/>
      <c r="R66" s="51"/>
      <c r="S66" s="51"/>
    </row>
    <row r="67" spans="17:19" x14ac:dyDescent="0.25">
      <c r="Q67" s="51"/>
      <c r="R67" s="51"/>
      <c r="S67" s="51"/>
    </row>
    <row r="68" spans="17:19" x14ac:dyDescent="0.25">
      <c r="Q68" s="51"/>
      <c r="R68" s="51"/>
      <c r="S68" s="51"/>
    </row>
    <row r="69" spans="17:19" x14ac:dyDescent="0.25">
      <c r="Q69" s="51"/>
      <c r="R69" s="51"/>
      <c r="S69" s="51"/>
    </row>
    <row r="70" spans="17:19" x14ac:dyDescent="0.25">
      <c r="Q70" s="51"/>
      <c r="R70" s="51"/>
      <c r="S70" s="51"/>
    </row>
    <row r="71" spans="17:19" x14ac:dyDescent="0.25">
      <c r="Q71" s="51"/>
      <c r="R71" s="51"/>
      <c r="S71" s="51"/>
    </row>
    <row r="72" spans="17:19" x14ac:dyDescent="0.25">
      <c r="Q72" s="51"/>
      <c r="R72" s="51"/>
      <c r="S72" s="51"/>
    </row>
    <row r="73" spans="17:19" x14ac:dyDescent="0.25">
      <c r="Q73" s="51"/>
      <c r="R73" s="51"/>
      <c r="S73" s="51"/>
    </row>
    <row r="74" spans="17:19" x14ac:dyDescent="0.25">
      <c r="Q74" s="51"/>
      <c r="R74" s="51"/>
      <c r="S74" s="51"/>
    </row>
    <row r="75" spans="17:19" x14ac:dyDescent="0.25">
      <c r="Q75" s="51"/>
      <c r="R75" s="51"/>
      <c r="S75" s="51"/>
    </row>
    <row r="76" spans="17:19" x14ac:dyDescent="0.25">
      <c r="Q76" s="51"/>
      <c r="R76" s="51"/>
      <c r="S76" s="51"/>
    </row>
    <row r="77" spans="17:19" x14ac:dyDescent="0.25">
      <c r="Q77" s="51"/>
      <c r="R77" s="51"/>
      <c r="S77" s="51"/>
    </row>
  </sheetData>
  <pageMargins left="0.7" right="0.7" top="0.75" bottom="0.75" header="0.3" footer="0.3"/>
  <pageSetup paperSize="9" scale="55" fitToWidth="0" fitToHeight="0" orientation="landscape" r:id="rId1"/>
  <headerFooter>
    <oddFooter>&amp;R&amp;"verdana,Regular"Genele Açık</oddFooter>
  </headerFooter>
  <rowBreaks count="1" manualBreakCount="1">
    <brk id="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6"/>
  <sheetViews>
    <sheetView showGridLines="0" zoomScaleNormal="100" zoomScaleSheetLayoutView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42" bestFit="1" customWidth="1"/>
    <col min="3" max="10" width="9.140625" bestFit="1" customWidth="1"/>
    <col min="11" max="11" width="8.7109375" bestFit="1" customWidth="1"/>
    <col min="12" max="12" width="2.28515625" style="61" customWidth="1"/>
    <col min="13" max="14" width="9.140625" style="61" bestFit="1" customWidth="1"/>
    <col min="15" max="15" width="8.7109375" style="61" bestFit="1" customWidth="1"/>
    <col min="16" max="16" width="2.28515625" customWidth="1"/>
    <col min="17" max="18" width="7.5703125" style="61" bestFit="1" customWidth="1"/>
    <col min="19" max="19" width="8.7109375" style="61" bestFit="1" customWidth="1"/>
  </cols>
  <sheetData>
    <row r="1" spans="2:20" x14ac:dyDescent="0.25">
      <c r="C1" s="1"/>
      <c r="D1" s="1"/>
      <c r="E1" s="1"/>
      <c r="F1" s="2"/>
      <c r="G1" s="2"/>
      <c r="H1" s="2"/>
      <c r="I1" s="2"/>
      <c r="J1" s="2"/>
      <c r="K1" s="2"/>
    </row>
    <row r="2" spans="2:20" x14ac:dyDescent="0.25">
      <c r="B2" s="37" t="s">
        <v>92</v>
      </c>
      <c r="C2" s="38"/>
      <c r="D2" s="38"/>
      <c r="E2" s="38"/>
      <c r="F2" s="38"/>
      <c r="G2" s="38"/>
      <c r="H2" s="38"/>
      <c r="I2" s="6"/>
      <c r="J2" s="6"/>
      <c r="K2" s="38" t="s">
        <v>58</v>
      </c>
      <c r="L2" s="39"/>
      <c r="M2" s="6" t="s">
        <v>59</v>
      </c>
      <c r="N2" s="6" t="s">
        <v>59</v>
      </c>
      <c r="O2" s="38" t="s">
        <v>58</v>
      </c>
      <c r="Q2" s="6" t="s">
        <v>60</v>
      </c>
      <c r="R2" s="6" t="s">
        <v>60</v>
      </c>
      <c r="S2" s="38" t="s">
        <v>58</v>
      </c>
    </row>
    <row r="3" spans="2:20" ht="15.75" thickBot="1" x14ac:dyDescent="0.3">
      <c r="B3" s="40" t="s">
        <v>62</v>
      </c>
      <c r="C3" s="41">
        <v>2014</v>
      </c>
      <c r="D3" s="41">
        <v>2015</v>
      </c>
      <c r="E3" s="41">
        <v>2016</v>
      </c>
      <c r="F3" s="41">
        <v>2017</v>
      </c>
      <c r="G3" s="41">
        <v>2018</v>
      </c>
      <c r="H3" s="41">
        <v>2019</v>
      </c>
      <c r="I3" s="9">
        <v>2020</v>
      </c>
      <c r="J3" s="9">
        <v>2021</v>
      </c>
      <c r="K3" s="10" t="s">
        <v>0</v>
      </c>
      <c r="L3" s="39"/>
      <c r="M3" s="9">
        <f>'Perakende &amp; Müşteri Çözümleri'!M3</f>
        <v>2021</v>
      </c>
      <c r="N3" s="9">
        <f>'Perakende &amp; Müşteri Çözümleri'!N3</f>
        <v>2022</v>
      </c>
      <c r="O3" s="10" t="s">
        <v>1</v>
      </c>
      <c r="Q3" s="9">
        <f>'Perakende &amp; Müşteri Çözümleri'!Q3</f>
        <v>2021</v>
      </c>
      <c r="R3" s="9">
        <f>'Perakende &amp; Müşteri Çözümleri'!R3</f>
        <v>2022</v>
      </c>
      <c r="S3" s="10" t="s">
        <v>1</v>
      </c>
    </row>
    <row r="4" spans="2:20" x14ac:dyDescent="0.25">
      <c r="B4" s="11" t="s">
        <v>93</v>
      </c>
      <c r="C4" s="49">
        <v>205.39000000000001</v>
      </c>
      <c r="D4" s="49">
        <v>304.83100000000002</v>
      </c>
      <c r="E4" s="49">
        <v>609.62800000000004</v>
      </c>
      <c r="F4" s="49">
        <v>1014</v>
      </c>
      <c r="G4" s="49">
        <v>1717</v>
      </c>
      <c r="H4" s="49">
        <v>1959</v>
      </c>
      <c r="I4" s="49">
        <v>2070</v>
      </c>
      <c r="J4" s="49">
        <v>2951</v>
      </c>
      <c r="K4" s="49">
        <f>J4-I4</f>
        <v>881</v>
      </c>
      <c r="L4" s="62"/>
      <c r="M4" s="49">
        <v>1837</v>
      </c>
      <c r="N4" s="49">
        <v>4014</v>
      </c>
      <c r="O4" s="49">
        <f>N4-M4</f>
        <v>2177</v>
      </c>
      <c r="P4" s="20"/>
      <c r="Q4" s="49">
        <v>705</v>
      </c>
      <c r="R4" s="49">
        <v>1897</v>
      </c>
      <c r="S4" s="49">
        <f>R4-Q4</f>
        <v>1192</v>
      </c>
      <c r="T4" s="20"/>
    </row>
    <row r="5" spans="2:20" x14ac:dyDescent="0.25">
      <c r="B5" s="79" t="s">
        <v>18</v>
      </c>
      <c r="C5" s="49">
        <v>210.18100000000001</v>
      </c>
      <c r="D5" s="49">
        <v>200.333</v>
      </c>
      <c r="E5" s="49">
        <v>443.23500000000001</v>
      </c>
      <c r="F5" s="49">
        <v>592</v>
      </c>
      <c r="G5" s="49">
        <v>798</v>
      </c>
      <c r="H5" s="49">
        <v>1058</v>
      </c>
      <c r="I5" s="49">
        <v>1342</v>
      </c>
      <c r="J5" s="49">
        <v>2101</v>
      </c>
      <c r="K5" s="49">
        <f t="shared" ref="K5:K24" si="0">J5-I5</f>
        <v>759</v>
      </c>
      <c r="L5" s="63"/>
      <c r="M5" s="49">
        <v>1576</v>
      </c>
      <c r="N5" s="49">
        <v>3089</v>
      </c>
      <c r="O5" s="49">
        <f t="shared" ref="O5:O24" si="1">N5-M5</f>
        <v>1513</v>
      </c>
      <c r="P5" s="1"/>
      <c r="Q5" s="49">
        <v>525</v>
      </c>
      <c r="R5" s="49">
        <v>1030</v>
      </c>
      <c r="S5" s="49">
        <f t="shared" ref="S5:S24" si="2">R5-Q5</f>
        <v>505</v>
      </c>
      <c r="T5" s="1"/>
    </row>
    <row r="6" spans="2:20" x14ac:dyDescent="0.25">
      <c r="B6" s="11" t="s">
        <v>94</v>
      </c>
      <c r="C6" s="49">
        <v>66.836883419186591</v>
      </c>
      <c r="D6" s="49">
        <v>136.90278828440944</v>
      </c>
      <c r="E6" s="49">
        <v>448.97269115704557</v>
      </c>
      <c r="F6" s="49">
        <v>605</v>
      </c>
      <c r="G6" s="49">
        <v>816</v>
      </c>
      <c r="H6" s="49">
        <v>902</v>
      </c>
      <c r="I6" s="49">
        <f t="shared" ref="I6:J6" si="3">SUM(I7:I11)</f>
        <v>941</v>
      </c>
      <c r="J6" s="49">
        <f t="shared" si="3"/>
        <v>1045</v>
      </c>
      <c r="K6" s="49">
        <f t="shared" si="0"/>
        <v>104</v>
      </c>
      <c r="L6" s="63"/>
      <c r="M6" s="49">
        <v>719</v>
      </c>
      <c r="N6" s="49">
        <f t="shared" ref="N6" si="4">SUM(N7:N11)</f>
        <v>495</v>
      </c>
      <c r="O6" s="49">
        <f t="shared" si="1"/>
        <v>-224</v>
      </c>
      <c r="P6" s="20"/>
      <c r="Q6" s="49">
        <f t="shared" ref="Q6:R6" si="5">SUM(Q7:Q11)</f>
        <v>278</v>
      </c>
      <c r="R6" s="49">
        <f t="shared" si="5"/>
        <v>10</v>
      </c>
      <c r="S6" s="49">
        <f t="shared" si="2"/>
        <v>-268</v>
      </c>
      <c r="T6" s="20"/>
    </row>
    <row r="7" spans="2:20" x14ac:dyDescent="0.25">
      <c r="B7" s="22" t="s">
        <v>95</v>
      </c>
      <c r="C7" s="49">
        <v>41.669966764836175</v>
      </c>
      <c r="D7" s="49">
        <v>23.435786273687899</v>
      </c>
      <c r="E7" s="49">
        <v>165</v>
      </c>
      <c r="F7" s="49">
        <v>142</v>
      </c>
      <c r="G7" s="49">
        <v>105</v>
      </c>
      <c r="H7" s="49">
        <v>69</v>
      </c>
      <c r="I7" s="49">
        <v>121</v>
      </c>
      <c r="J7" s="49">
        <v>295</v>
      </c>
      <c r="K7" s="49">
        <f t="shared" si="0"/>
        <v>174</v>
      </c>
      <c r="L7" s="64"/>
      <c r="M7" s="49">
        <v>139</v>
      </c>
      <c r="N7" s="49">
        <v>-161</v>
      </c>
      <c r="O7" s="49">
        <f t="shared" si="1"/>
        <v>-300</v>
      </c>
      <c r="P7" s="1"/>
      <c r="Q7" s="49">
        <v>66</v>
      </c>
      <c r="R7" s="49">
        <v>-161</v>
      </c>
      <c r="S7" s="49">
        <f t="shared" si="2"/>
        <v>-227</v>
      </c>
      <c r="T7" s="1"/>
    </row>
    <row r="8" spans="2:20" x14ac:dyDescent="0.25">
      <c r="B8" s="22" t="s">
        <v>96</v>
      </c>
      <c r="C8" s="49">
        <v>78.227916654350452</v>
      </c>
      <c r="D8" s="49">
        <v>70.018002010721489</v>
      </c>
      <c r="E8" s="49">
        <v>146.45319474679684</v>
      </c>
      <c r="F8" s="49">
        <v>51</v>
      </c>
      <c r="G8" s="49">
        <v>85</v>
      </c>
      <c r="H8" s="49">
        <v>92</v>
      </c>
      <c r="I8" s="49">
        <v>82</v>
      </c>
      <c r="J8" s="49">
        <v>102</v>
      </c>
      <c r="K8" s="49">
        <f t="shared" si="0"/>
        <v>20</v>
      </c>
      <c r="L8" s="63"/>
      <c r="M8" s="49">
        <v>122</v>
      </c>
      <c r="N8" s="49">
        <v>-166</v>
      </c>
      <c r="O8" s="49">
        <f t="shared" si="1"/>
        <v>-288</v>
      </c>
      <c r="P8" s="1"/>
      <c r="Q8" s="49">
        <v>23</v>
      </c>
      <c r="R8" s="49">
        <v>-150</v>
      </c>
      <c r="S8" s="49">
        <f t="shared" si="2"/>
        <v>-173</v>
      </c>
      <c r="T8" s="1"/>
    </row>
    <row r="9" spans="2:20" x14ac:dyDescent="0.25">
      <c r="B9" s="22" t="s">
        <v>97</v>
      </c>
      <c r="C9" s="49">
        <v>-60.061000000000035</v>
      </c>
      <c r="D9" s="49">
        <v>26.449000000000069</v>
      </c>
      <c r="E9" s="49">
        <v>83.756321633929019</v>
      </c>
      <c r="F9" s="49">
        <v>135</v>
      </c>
      <c r="G9" s="49">
        <v>97</v>
      </c>
      <c r="H9" s="49">
        <v>115</v>
      </c>
      <c r="I9" s="49">
        <v>97</v>
      </c>
      <c r="J9" s="49">
        <v>77</v>
      </c>
      <c r="K9" s="49">
        <f t="shared" si="0"/>
        <v>-20</v>
      </c>
      <c r="L9" s="63"/>
      <c r="M9" s="49">
        <v>102</v>
      </c>
      <c r="N9" s="49">
        <v>64</v>
      </c>
      <c r="O9" s="49">
        <f t="shared" si="1"/>
        <v>-38</v>
      </c>
      <c r="P9" s="1"/>
      <c r="Q9" s="49">
        <v>53</v>
      </c>
      <c r="R9" s="49">
        <v>20</v>
      </c>
      <c r="S9" s="49">
        <f t="shared" si="2"/>
        <v>-33</v>
      </c>
      <c r="T9" s="1"/>
    </row>
    <row r="10" spans="2:20" x14ac:dyDescent="0.25">
      <c r="B10" s="22" t="s">
        <v>98</v>
      </c>
      <c r="C10" s="49">
        <v>7</v>
      </c>
      <c r="D10" s="49">
        <v>17</v>
      </c>
      <c r="E10" s="49">
        <v>53.763174776319715</v>
      </c>
      <c r="F10" s="49">
        <v>277</v>
      </c>
      <c r="G10" s="49">
        <v>413</v>
      </c>
      <c r="H10" s="49">
        <v>466</v>
      </c>
      <c r="I10" s="49">
        <v>446</v>
      </c>
      <c r="J10" s="49">
        <v>422</v>
      </c>
      <c r="K10" s="49">
        <f t="shared" si="0"/>
        <v>-24</v>
      </c>
      <c r="L10" s="63"/>
      <c r="M10" s="49">
        <v>299</v>
      </c>
      <c r="N10" s="49">
        <v>651</v>
      </c>
      <c r="O10" s="49">
        <f t="shared" si="1"/>
        <v>352</v>
      </c>
      <c r="P10" s="1"/>
      <c r="Q10" s="49">
        <v>117</v>
      </c>
      <c r="R10" s="49">
        <v>265</v>
      </c>
      <c r="S10" s="49">
        <f t="shared" si="2"/>
        <v>148</v>
      </c>
      <c r="T10" s="1"/>
    </row>
    <row r="11" spans="2:20" x14ac:dyDescent="0.25">
      <c r="B11" s="22" t="s">
        <v>99</v>
      </c>
      <c r="C11" s="65" t="s">
        <v>2</v>
      </c>
      <c r="D11" s="65" t="s">
        <v>2</v>
      </c>
      <c r="E11" s="65" t="s">
        <v>2</v>
      </c>
      <c r="F11" s="65" t="s">
        <v>2</v>
      </c>
      <c r="G11" s="49">
        <v>116</v>
      </c>
      <c r="H11" s="49">
        <v>160</v>
      </c>
      <c r="I11" s="49">
        <v>195</v>
      </c>
      <c r="J11" s="49">
        <v>149</v>
      </c>
      <c r="K11" s="65">
        <f t="shared" si="0"/>
        <v>-46</v>
      </c>
      <c r="L11" s="63"/>
      <c r="M11" s="49">
        <v>57</v>
      </c>
      <c r="N11" s="49">
        <v>107</v>
      </c>
      <c r="O11" s="65">
        <f t="shared" si="1"/>
        <v>50</v>
      </c>
      <c r="P11" s="1"/>
      <c r="Q11" s="49">
        <v>19</v>
      </c>
      <c r="R11" s="49">
        <v>36</v>
      </c>
      <c r="S11" s="65">
        <f t="shared" si="2"/>
        <v>17</v>
      </c>
      <c r="T11" s="1"/>
    </row>
    <row r="12" spans="2:20" x14ac:dyDescent="0.25">
      <c r="B12" s="80" t="s">
        <v>100</v>
      </c>
      <c r="C12" s="49">
        <v>32.309772053554298</v>
      </c>
      <c r="D12" s="49">
        <v>38.876549469487827</v>
      </c>
      <c r="E12" s="49">
        <v>44</v>
      </c>
      <c r="F12" s="49">
        <v>86</v>
      </c>
      <c r="G12" s="49">
        <v>133</v>
      </c>
      <c r="H12" s="49">
        <v>174</v>
      </c>
      <c r="I12" s="49">
        <v>217</v>
      </c>
      <c r="J12" s="49">
        <v>283</v>
      </c>
      <c r="K12" s="49">
        <f t="shared" si="0"/>
        <v>66</v>
      </c>
      <c r="L12" s="63"/>
      <c r="M12" s="49">
        <v>212</v>
      </c>
      <c r="N12" s="49">
        <v>364</v>
      </c>
      <c r="O12" s="49">
        <f t="shared" si="1"/>
        <v>152</v>
      </c>
      <c r="P12" s="20"/>
      <c r="Q12" s="49">
        <v>70</v>
      </c>
      <c r="R12" s="49">
        <v>129</v>
      </c>
      <c r="S12" s="49">
        <f t="shared" si="2"/>
        <v>59</v>
      </c>
      <c r="T12" s="20"/>
    </row>
    <row r="13" spans="2:20" x14ac:dyDescent="0.25">
      <c r="B13" s="11" t="s">
        <v>34</v>
      </c>
      <c r="C13" s="49">
        <v>120.604</v>
      </c>
      <c r="D13" s="49">
        <v>126.396</v>
      </c>
      <c r="E13" s="49">
        <v>103.99730884295445</v>
      </c>
      <c r="F13" s="49">
        <v>47</v>
      </c>
      <c r="G13" s="49">
        <v>26</v>
      </c>
      <c r="H13" s="49">
        <v>-20</v>
      </c>
      <c r="I13" s="49">
        <v>193</v>
      </c>
      <c r="J13" s="49">
        <v>171</v>
      </c>
      <c r="K13" s="49">
        <f t="shared" si="0"/>
        <v>-22</v>
      </c>
      <c r="L13" s="63"/>
      <c r="M13" s="49">
        <v>65</v>
      </c>
      <c r="N13" s="49">
        <v>520</v>
      </c>
      <c r="O13" s="49">
        <f t="shared" si="1"/>
        <v>455</v>
      </c>
      <c r="P13" s="1"/>
      <c r="Q13" s="49">
        <v>-1</v>
      </c>
      <c r="R13" s="49">
        <v>200</v>
      </c>
      <c r="S13" s="49">
        <f t="shared" si="2"/>
        <v>201</v>
      </c>
      <c r="T13" s="1"/>
    </row>
    <row r="14" spans="2:20" x14ac:dyDescent="0.25">
      <c r="B14" s="14" t="s">
        <v>24</v>
      </c>
      <c r="C14" s="46">
        <v>635.32165547274099</v>
      </c>
      <c r="D14" s="46">
        <v>807.33933775389721</v>
      </c>
      <c r="E14" s="46">
        <v>1649.8330000000001</v>
      </c>
      <c r="F14" s="46">
        <v>2344</v>
      </c>
      <c r="G14" s="46">
        <v>3490</v>
      </c>
      <c r="H14" s="46">
        <v>4073</v>
      </c>
      <c r="I14" s="46">
        <f>SUM(I4:I6,I12:I13)</f>
        <v>4763</v>
      </c>
      <c r="J14" s="46">
        <f>SUM(J4:J6,J12:J13)</f>
        <v>6551</v>
      </c>
      <c r="K14" s="46">
        <f t="shared" si="0"/>
        <v>1788</v>
      </c>
      <c r="L14" s="66"/>
      <c r="M14" s="46">
        <f>SUM(M4:M6,M12:M13)</f>
        <v>4409</v>
      </c>
      <c r="N14" s="46">
        <f>SUM(N4:N6,N12:N13)</f>
        <v>8482</v>
      </c>
      <c r="O14" s="46">
        <f t="shared" si="1"/>
        <v>4073</v>
      </c>
      <c r="P14" s="20"/>
      <c r="Q14" s="46">
        <f>SUM(Q4:Q6,Q12:Q13)</f>
        <v>1577</v>
      </c>
      <c r="R14" s="46">
        <f>SUM(R4:R6,R12:R13)</f>
        <v>3266</v>
      </c>
      <c r="S14" s="46">
        <f t="shared" si="2"/>
        <v>1689</v>
      </c>
      <c r="T14" s="20"/>
    </row>
    <row r="15" spans="2:20" x14ac:dyDescent="0.25">
      <c r="B15" s="11" t="s">
        <v>101</v>
      </c>
      <c r="C15" s="48">
        <v>-71</v>
      </c>
      <c r="D15" s="48">
        <v>-125</v>
      </c>
      <c r="E15" s="48">
        <v>-265</v>
      </c>
      <c r="F15" s="49">
        <v>-577</v>
      </c>
      <c r="G15" s="49">
        <v>-1082</v>
      </c>
      <c r="H15" s="49">
        <v>-1178</v>
      </c>
      <c r="I15" s="49">
        <v>-1157</v>
      </c>
      <c r="J15" s="49">
        <v>-1050</v>
      </c>
      <c r="K15" s="49">
        <f t="shared" si="0"/>
        <v>107</v>
      </c>
      <c r="L15" s="63"/>
      <c r="M15" s="49">
        <v>-412</v>
      </c>
      <c r="N15" s="49">
        <v>-1571</v>
      </c>
      <c r="O15" s="49">
        <f t="shared" si="1"/>
        <v>-1159</v>
      </c>
      <c r="P15" s="1"/>
      <c r="Q15" s="49">
        <v>-199</v>
      </c>
      <c r="R15" s="49">
        <v>-975</v>
      </c>
      <c r="S15" s="49">
        <f t="shared" si="2"/>
        <v>-776</v>
      </c>
      <c r="T15" s="1"/>
    </row>
    <row r="16" spans="2:20" x14ac:dyDescent="0.25">
      <c r="B16" s="11" t="s">
        <v>95</v>
      </c>
      <c r="C16" s="48">
        <v>-41.669966764836175</v>
      </c>
      <c r="D16" s="48">
        <v>-23.435786273687899</v>
      </c>
      <c r="E16" s="48">
        <v>-165</v>
      </c>
      <c r="F16" s="48">
        <v>-142</v>
      </c>
      <c r="G16" s="48">
        <v>-105</v>
      </c>
      <c r="H16" s="48">
        <v>-69</v>
      </c>
      <c r="I16" s="49">
        <v>-121</v>
      </c>
      <c r="J16" s="49">
        <v>-295</v>
      </c>
      <c r="K16" s="49">
        <f t="shared" si="0"/>
        <v>-174</v>
      </c>
      <c r="L16" s="63"/>
      <c r="M16" s="49">
        <v>-139</v>
      </c>
      <c r="N16" s="49">
        <v>161</v>
      </c>
      <c r="O16" s="49">
        <f t="shared" si="1"/>
        <v>300</v>
      </c>
      <c r="P16" s="1"/>
      <c r="Q16" s="49">
        <v>-66</v>
      </c>
      <c r="R16" s="49">
        <v>161</v>
      </c>
      <c r="S16" s="49">
        <f t="shared" si="2"/>
        <v>227</v>
      </c>
      <c r="T16" s="1"/>
    </row>
    <row r="17" spans="2:20" x14ac:dyDescent="0.25">
      <c r="B17" s="11" t="s">
        <v>102</v>
      </c>
      <c r="C17" s="48">
        <v>-475.6280332351638</v>
      </c>
      <c r="D17" s="48">
        <v>-34.714305234190533</v>
      </c>
      <c r="E17" s="48">
        <v>412.99962729786353</v>
      </c>
      <c r="F17" s="49">
        <v>20.574684588912532</v>
      </c>
      <c r="G17" s="49">
        <v>71</v>
      </c>
      <c r="H17" s="49">
        <v>-449</v>
      </c>
      <c r="I17" s="49">
        <v>78</v>
      </c>
      <c r="J17" s="49">
        <v>1381</v>
      </c>
      <c r="K17" s="48">
        <f t="shared" si="0"/>
        <v>1303</v>
      </c>
      <c r="L17" s="63"/>
      <c r="M17" s="49">
        <v>702</v>
      </c>
      <c r="N17" s="49">
        <v>246</v>
      </c>
      <c r="O17" s="48">
        <f t="shared" si="1"/>
        <v>-456</v>
      </c>
      <c r="P17" s="1"/>
      <c r="Q17" s="49">
        <v>321</v>
      </c>
      <c r="R17" s="49">
        <v>-140</v>
      </c>
      <c r="S17" s="48">
        <f t="shared" si="2"/>
        <v>-461</v>
      </c>
      <c r="T17" s="1"/>
    </row>
    <row r="18" spans="2:20" x14ac:dyDescent="0.25">
      <c r="B18" s="14" t="s">
        <v>45</v>
      </c>
      <c r="C18" s="46">
        <v>47.023655472740984</v>
      </c>
      <c r="D18" s="46">
        <v>624.1892462460188</v>
      </c>
      <c r="E18" s="46">
        <v>1632.8326272978638</v>
      </c>
      <c r="F18" s="46">
        <v>1645.5746845889125</v>
      </c>
      <c r="G18" s="46">
        <v>2374</v>
      </c>
      <c r="H18" s="46">
        <v>2377</v>
      </c>
      <c r="I18" s="46">
        <f>SUM(I14:I17)</f>
        <v>3563</v>
      </c>
      <c r="J18" s="46">
        <f>SUM(J14:J17)</f>
        <v>6587</v>
      </c>
      <c r="K18" s="46">
        <f t="shared" si="0"/>
        <v>3024</v>
      </c>
      <c r="L18" s="67"/>
      <c r="M18" s="46">
        <f>SUM(M14:M17)</f>
        <v>4560</v>
      </c>
      <c r="N18" s="46">
        <f>SUM(N14:N17)</f>
        <v>7318</v>
      </c>
      <c r="O18" s="46">
        <f t="shared" si="1"/>
        <v>2758</v>
      </c>
      <c r="P18" s="1"/>
      <c r="Q18" s="46">
        <f>SUM(Q14:Q17)</f>
        <v>1633</v>
      </c>
      <c r="R18" s="46">
        <f>SUM(R14:R17)</f>
        <v>2312</v>
      </c>
      <c r="S18" s="46">
        <f t="shared" si="2"/>
        <v>679</v>
      </c>
      <c r="T18" s="1"/>
    </row>
    <row r="19" spans="2:20" x14ac:dyDescent="0.25">
      <c r="B19" s="11" t="s">
        <v>103</v>
      </c>
      <c r="C19" s="48">
        <v>-619</v>
      </c>
      <c r="D19" s="48">
        <v>-1269</v>
      </c>
      <c r="E19" s="48">
        <v>-1599</v>
      </c>
      <c r="F19" s="48">
        <v>-1573</v>
      </c>
      <c r="G19" s="49">
        <v>-1605</v>
      </c>
      <c r="H19" s="49">
        <v>-1418</v>
      </c>
      <c r="I19" s="49">
        <v>-1790</v>
      </c>
      <c r="J19" s="49">
        <v>-2800</v>
      </c>
      <c r="K19" s="48">
        <f t="shared" si="0"/>
        <v>-1010</v>
      </c>
      <c r="L19" s="68"/>
      <c r="M19" s="49">
        <v>-2078</v>
      </c>
      <c r="N19" s="49">
        <v>-2306</v>
      </c>
      <c r="O19" s="48">
        <f t="shared" si="1"/>
        <v>-228</v>
      </c>
      <c r="P19" s="20"/>
      <c r="Q19" s="49">
        <v>-968</v>
      </c>
      <c r="R19" s="49">
        <v>-1372</v>
      </c>
      <c r="S19" s="48">
        <f t="shared" si="2"/>
        <v>-404</v>
      </c>
      <c r="T19" s="20"/>
    </row>
    <row r="20" spans="2:20" x14ac:dyDescent="0.25">
      <c r="B20" s="11" t="s">
        <v>95</v>
      </c>
      <c r="C20" s="48">
        <v>41.669966764836175</v>
      </c>
      <c r="D20" s="48">
        <v>23.435786273687899</v>
      </c>
      <c r="E20" s="48">
        <v>165</v>
      </c>
      <c r="F20" s="48">
        <v>142</v>
      </c>
      <c r="G20" s="48">
        <v>105</v>
      </c>
      <c r="H20" s="48">
        <v>69</v>
      </c>
      <c r="I20" s="49">
        <v>121</v>
      </c>
      <c r="J20" s="49">
        <v>295</v>
      </c>
      <c r="K20" s="48">
        <f t="shared" si="0"/>
        <v>174</v>
      </c>
      <c r="L20" s="63"/>
      <c r="M20" s="49">
        <v>139</v>
      </c>
      <c r="N20" s="49">
        <v>-161</v>
      </c>
      <c r="O20" s="48">
        <f t="shared" si="1"/>
        <v>-300</v>
      </c>
      <c r="P20" s="1"/>
      <c r="Q20" s="49">
        <v>66</v>
      </c>
      <c r="R20" s="49">
        <v>-161</v>
      </c>
      <c r="S20" s="48">
        <f t="shared" si="2"/>
        <v>-227</v>
      </c>
      <c r="T20" s="1"/>
    </row>
    <row r="21" spans="2:20" x14ac:dyDescent="0.25">
      <c r="B21" s="11" t="s">
        <v>104</v>
      </c>
      <c r="C21" s="48">
        <v>-103.91940598232948</v>
      </c>
      <c r="D21" s="48">
        <v>-186.83463205894682</v>
      </c>
      <c r="E21" s="48">
        <v>-186.42000000000002</v>
      </c>
      <c r="F21" s="48">
        <v>-307.66720910269106</v>
      </c>
      <c r="G21" s="49">
        <v>-308</v>
      </c>
      <c r="H21" s="49">
        <v>-255</v>
      </c>
      <c r="I21" s="49">
        <v>-346</v>
      </c>
      <c r="J21" s="49">
        <v>-451</v>
      </c>
      <c r="K21" s="48">
        <f t="shared" si="0"/>
        <v>-105</v>
      </c>
      <c r="L21" s="63"/>
      <c r="M21" s="49">
        <v>-349</v>
      </c>
      <c r="N21" s="49">
        <v>-322</v>
      </c>
      <c r="O21" s="48">
        <f t="shared" si="1"/>
        <v>27</v>
      </c>
      <c r="P21" s="1"/>
      <c r="Q21" s="49">
        <v>-162</v>
      </c>
      <c r="R21" s="49">
        <v>-154</v>
      </c>
      <c r="S21" s="48">
        <f t="shared" si="2"/>
        <v>8</v>
      </c>
      <c r="T21" s="1"/>
    </row>
    <row r="22" spans="2:20" x14ac:dyDescent="0.25">
      <c r="B22" s="11" t="s">
        <v>105</v>
      </c>
      <c r="C22" s="48">
        <v>202.24943921749332</v>
      </c>
      <c r="D22" s="48">
        <v>384.39884578525891</v>
      </c>
      <c r="E22" s="48">
        <v>108.42000000000002</v>
      </c>
      <c r="F22" s="48">
        <v>34.151704117641486</v>
      </c>
      <c r="G22" s="49">
        <v>259</v>
      </c>
      <c r="H22" s="49">
        <v>49</v>
      </c>
      <c r="I22" s="49">
        <v>-96</v>
      </c>
      <c r="J22" s="49">
        <v>-452</v>
      </c>
      <c r="K22" s="48">
        <f t="shared" si="0"/>
        <v>-356</v>
      </c>
      <c r="L22" s="63"/>
      <c r="M22" s="49">
        <v>63</v>
      </c>
      <c r="N22" s="49">
        <v>-711</v>
      </c>
      <c r="O22" s="48">
        <f t="shared" si="1"/>
        <v>-774</v>
      </c>
      <c r="P22" s="1"/>
      <c r="Q22" s="49">
        <v>9</v>
      </c>
      <c r="R22" s="49">
        <v>275</v>
      </c>
      <c r="S22" s="48">
        <f t="shared" si="2"/>
        <v>266</v>
      </c>
      <c r="T22" s="1"/>
    </row>
    <row r="23" spans="2:20" x14ac:dyDescent="0.25">
      <c r="B23" s="14" t="s">
        <v>106</v>
      </c>
      <c r="C23" s="46">
        <v>-479</v>
      </c>
      <c r="D23" s="46">
        <v>-1048</v>
      </c>
      <c r="E23" s="46">
        <v>-1512</v>
      </c>
      <c r="F23" s="46">
        <v>-1704.5155049850496</v>
      </c>
      <c r="G23" s="46">
        <v>-1549</v>
      </c>
      <c r="H23" s="46">
        <v>-1555</v>
      </c>
      <c r="I23" s="46">
        <f t="shared" ref="I23:J23" si="6">SUM(I19:I22)</f>
        <v>-2111</v>
      </c>
      <c r="J23" s="46">
        <f t="shared" si="6"/>
        <v>-3408</v>
      </c>
      <c r="K23" s="46">
        <f t="shared" si="0"/>
        <v>-1297</v>
      </c>
      <c r="L23" s="67"/>
      <c r="M23" s="46">
        <f t="shared" ref="M23:N23" si="7">SUM(M19:M22)</f>
        <v>-2225</v>
      </c>
      <c r="N23" s="46">
        <f t="shared" si="7"/>
        <v>-3500</v>
      </c>
      <c r="O23" s="46">
        <f t="shared" si="1"/>
        <v>-1275</v>
      </c>
      <c r="P23" s="1"/>
      <c r="Q23" s="46">
        <f t="shared" ref="Q23:R23" si="8">SUM(Q19:Q22)</f>
        <v>-1055</v>
      </c>
      <c r="R23" s="46">
        <f t="shared" si="8"/>
        <v>-1412</v>
      </c>
      <c r="S23" s="46">
        <f t="shared" si="2"/>
        <v>-357</v>
      </c>
      <c r="T23" s="1"/>
    </row>
    <row r="24" spans="2:20" x14ac:dyDescent="0.25">
      <c r="B24" s="14" t="s">
        <v>47</v>
      </c>
      <c r="C24" s="46">
        <v>-431.97634452725902</v>
      </c>
      <c r="D24" s="46">
        <v>-423.3107537539812</v>
      </c>
      <c r="E24" s="46">
        <v>120.83262729786384</v>
      </c>
      <c r="F24" s="46">
        <v>-58.940820396137042</v>
      </c>
      <c r="G24" s="46">
        <v>825</v>
      </c>
      <c r="H24" s="46">
        <v>822</v>
      </c>
      <c r="I24" s="46">
        <f>I23+I18</f>
        <v>1452</v>
      </c>
      <c r="J24" s="46">
        <f>J23+J18</f>
        <v>3179</v>
      </c>
      <c r="K24" s="46">
        <f t="shared" si="0"/>
        <v>1727</v>
      </c>
      <c r="L24" s="67"/>
      <c r="M24" s="46">
        <f>M23+M18</f>
        <v>2335</v>
      </c>
      <c r="N24" s="46">
        <f>N23+N18</f>
        <v>3818</v>
      </c>
      <c r="O24" s="46">
        <f t="shared" si="1"/>
        <v>1483</v>
      </c>
      <c r="P24" s="1"/>
      <c r="Q24" s="46">
        <f>Q23+Q18</f>
        <v>578</v>
      </c>
      <c r="R24" s="46">
        <f>R23+R18</f>
        <v>900</v>
      </c>
      <c r="S24" s="46">
        <f t="shared" si="2"/>
        <v>322</v>
      </c>
      <c r="T24" s="1"/>
    </row>
    <row r="25" spans="2:20" x14ac:dyDescent="0.25">
      <c r="B25" s="5"/>
      <c r="C25" s="69"/>
      <c r="D25" s="69"/>
      <c r="E25" s="69"/>
      <c r="F25" s="69"/>
      <c r="G25" s="69"/>
      <c r="H25" s="69"/>
      <c r="I25" s="69"/>
      <c r="J25" s="69"/>
      <c r="K25" s="69"/>
      <c r="M25" s="69"/>
      <c r="N25" s="69"/>
      <c r="O25" s="69"/>
      <c r="Q25" s="69"/>
      <c r="R25" s="69"/>
      <c r="S25" s="69"/>
    </row>
    <row r="26" spans="2:20" x14ac:dyDescent="0.25">
      <c r="B26" s="37" t="s">
        <v>107</v>
      </c>
      <c r="C26" s="38"/>
      <c r="D26" s="38"/>
      <c r="E26" s="38"/>
      <c r="F26" s="38"/>
      <c r="G26" s="38"/>
      <c r="H26" s="38"/>
      <c r="I26" s="6"/>
      <c r="J26" s="6"/>
      <c r="K26" s="38" t="str">
        <f>+K2</f>
        <v>Değişim</v>
      </c>
      <c r="L26" s="39"/>
      <c r="M26" s="6" t="str">
        <f t="shared" ref="M26:O27" si="9">M2</f>
        <v>9A</v>
      </c>
      <c r="N26" s="6" t="str">
        <f t="shared" si="9"/>
        <v>9A</v>
      </c>
      <c r="O26" s="6" t="str">
        <f t="shared" si="9"/>
        <v>Değişim</v>
      </c>
      <c r="Q26" s="69"/>
      <c r="R26" s="69"/>
      <c r="S26" s="69"/>
    </row>
    <row r="27" spans="2:20" ht="15.75" thickBot="1" x14ac:dyDescent="0.3">
      <c r="B27" s="40" t="s">
        <v>75</v>
      </c>
      <c r="C27" s="41">
        <v>2014</v>
      </c>
      <c r="D27" s="41">
        <v>2015</v>
      </c>
      <c r="E27" s="41">
        <v>2016</v>
      </c>
      <c r="F27" s="41">
        <v>2017</v>
      </c>
      <c r="G27" s="41">
        <v>2018</v>
      </c>
      <c r="H27" s="41">
        <v>2019</v>
      </c>
      <c r="I27" s="9">
        <v>2020</v>
      </c>
      <c r="J27" s="9">
        <v>2021</v>
      </c>
      <c r="K27" s="10" t="s">
        <v>0</v>
      </c>
      <c r="L27" s="39"/>
      <c r="M27" s="9">
        <f t="shared" si="9"/>
        <v>2021</v>
      </c>
      <c r="N27" s="9">
        <f t="shared" si="9"/>
        <v>2022</v>
      </c>
      <c r="O27" s="10" t="s">
        <v>1</v>
      </c>
      <c r="Q27" s="69"/>
      <c r="R27" s="69"/>
      <c r="S27" s="69"/>
    </row>
    <row r="28" spans="2:20" x14ac:dyDescent="0.25">
      <c r="B28" s="11" t="s">
        <v>108</v>
      </c>
      <c r="C28" s="49">
        <v>966.44059948407414</v>
      </c>
      <c r="D28" s="49">
        <f t="shared" ref="D28:J28" si="10">C33</f>
        <v>1435.1508636508995</v>
      </c>
      <c r="E28" s="49">
        <f t="shared" si="10"/>
        <v>2661.559619819981</v>
      </c>
      <c r="F28" s="49">
        <f t="shared" si="10"/>
        <v>3914.3147345384236</v>
      </c>
      <c r="G28" s="49">
        <f t="shared" si="10"/>
        <v>5322.0147345384239</v>
      </c>
      <c r="H28" s="49">
        <f t="shared" si="10"/>
        <v>6948.0147345384239</v>
      </c>
      <c r="I28" s="49">
        <f t="shared" si="10"/>
        <v>8400.2602391005548</v>
      </c>
      <c r="J28" s="49">
        <f t="shared" si="10"/>
        <v>9354.2602391005548</v>
      </c>
      <c r="K28" s="49">
        <f t="shared" ref="K28:K60" si="11">J28-I28</f>
        <v>954</v>
      </c>
      <c r="L28" s="63"/>
      <c r="M28" s="49">
        <v>9354</v>
      </c>
      <c r="N28" s="49">
        <f>J33</f>
        <v>11238.260239100555</v>
      </c>
      <c r="O28" s="49">
        <f t="shared" ref="O28:O34" si="12">N28-M28</f>
        <v>1884.2602391005548</v>
      </c>
      <c r="P28" s="55"/>
      <c r="Q28" s="69"/>
      <c r="R28" s="69"/>
      <c r="S28" s="69"/>
      <c r="T28" s="55"/>
    </row>
    <row r="29" spans="2:20" x14ac:dyDescent="0.25">
      <c r="B29" s="22" t="s">
        <v>109</v>
      </c>
      <c r="C29" s="49">
        <v>619</v>
      </c>
      <c r="D29" s="49">
        <v>1269</v>
      </c>
      <c r="E29" s="49">
        <v>1599</v>
      </c>
      <c r="F29" s="49">
        <v>1573</v>
      </c>
      <c r="G29" s="49">
        <v>1605</v>
      </c>
      <c r="H29" s="49">
        <v>1418</v>
      </c>
      <c r="I29" s="49">
        <f>-I19</f>
        <v>1790</v>
      </c>
      <c r="J29" s="49">
        <v>2800</v>
      </c>
      <c r="K29" s="49">
        <f t="shared" si="11"/>
        <v>1010</v>
      </c>
      <c r="L29" s="63"/>
      <c r="M29" s="49">
        <v>2078</v>
      </c>
      <c r="N29" s="49">
        <v>2306</v>
      </c>
      <c r="O29" s="49">
        <f t="shared" si="12"/>
        <v>228</v>
      </c>
      <c r="P29" s="55"/>
      <c r="Q29" s="69"/>
      <c r="R29" s="69"/>
      <c r="S29" s="69"/>
      <c r="T29" s="55"/>
    </row>
    <row r="30" spans="2:20" x14ac:dyDescent="0.25">
      <c r="B30" s="22" t="s">
        <v>18</v>
      </c>
      <c r="C30" s="49">
        <v>-210.18100000000001</v>
      </c>
      <c r="D30" s="49">
        <v>-200.333</v>
      </c>
      <c r="E30" s="49">
        <v>-443.23500000000001</v>
      </c>
      <c r="F30" s="49">
        <v>-592</v>
      </c>
      <c r="G30" s="49">
        <v>-798</v>
      </c>
      <c r="H30" s="49">
        <v>-1058</v>
      </c>
      <c r="I30" s="49">
        <f>-I5</f>
        <v>-1342</v>
      </c>
      <c r="J30" s="49">
        <v>-2556</v>
      </c>
      <c r="K30" s="49">
        <f t="shared" si="11"/>
        <v>-1214</v>
      </c>
      <c r="L30" s="63"/>
      <c r="M30" s="49">
        <v>-1915</v>
      </c>
      <c r="N30" s="49">
        <v>-3497</v>
      </c>
      <c r="O30" s="49">
        <f t="shared" si="12"/>
        <v>-1582</v>
      </c>
      <c r="P30" s="70"/>
      <c r="Q30" s="69"/>
      <c r="R30" s="69"/>
      <c r="S30" s="69"/>
      <c r="T30" s="70"/>
    </row>
    <row r="31" spans="2:20" x14ac:dyDescent="0.25">
      <c r="B31" s="22" t="s">
        <v>110</v>
      </c>
      <c r="C31" s="43" t="s">
        <v>2</v>
      </c>
      <c r="D31" s="43" t="s">
        <v>2</v>
      </c>
      <c r="E31" s="43" t="s">
        <v>2</v>
      </c>
      <c r="F31" s="43" t="s">
        <v>2</v>
      </c>
      <c r="G31" s="43" t="s">
        <v>2</v>
      </c>
      <c r="H31" s="43" t="s">
        <v>2</v>
      </c>
      <c r="I31" s="42">
        <v>-492</v>
      </c>
      <c r="J31" s="43" t="s">
        <v>2</v>
      </c>
      <c r="K31" s="43">
        <f>-I31</f>
        <v>492</v>
      </c>
      <c r="L31" s="63"/>
      <c r="M31" s="43" t="s">
        <v>2</v>
      </c>
      <c r="N31" s="43" t="s">
        <v>2</v>
      </c>
      <c r="O31" s="43" t="s">
        <v>2</v>
      </c>
      <c r="P31" s="70"/>
      <c r="Q31" s="69"/>
      <c r="R31" s="69"/>
      <c r="S31" s="69"/>
      <c r="T31" s="70"/>
    </row>
    <row r="32" spans="2:20" x14ac:dyDescent="0.25">
      <c r="B32" s="22" t="s">
        <v>111</v>
      </c>
      <c r="C32" s="49">
        <v>59.891264166825501</v>
      </c>
      <c r="D32" s="49">
        <v>157.74175616908124</v>
      </c>
      <c r="E32" s="49">
        <v>96.990114718442669</v>
      </c>
      <c r="F32" s="49">
        <v>426.7</v>
      </c>
      <c r="G32" s="49">
        <v>819</v>
      </c>
      <c r="H32" s="49">
        <v>1092.24550456213</v>
      </c>
      <c r="I32" s="49">
        <v>998</v>
      </c>
      <c r="J32" s="49">
        <v>1640</v>
      </c>
      <c r="K32" s="49">
        <f t="shared" si="11"/>
        <v>642</v>
      </c>
      <c r="L32" s="63"/>
      <c r="M32" s="49">
        <v>1638</v>
      </c>
      <c r="N32" s="49">
        <v>8836</v>
      </c>
      <c r="O32" s="49">
        <f t="shared" si="12"/>
        <v>7198</v>
      </c>
      <c r="P32" s="55"/>
      <c r="Q32" s="69"/>
      <c r="R32" s="69"/>
      <c r="S32" s="69"/>
      <c r="T32" s="55"/>
    </row>
    <row r="33" spans="2:20" x14ac:dyDescent="0.25">
      <c r="B33" s="14" t="s">
        <v>112</v>
      </c>
      <c r="C33" s="46">
        <v>1435.1508636508995</v>
      </c>
      <c r="D33" s="46">
        <v>2661.559619819981</v>
      </c>
      <c r="E33" s="46">
        <v>3914.3147345384236</v>
      </c>
      <c r="F33" s="46">
        <v>5322.0147345384239</v>
      </c>
      <c r="G33" s="46">
        <v>6948.0147345384239</v>
      </c>
      <c r="H33" s="46">
        <v>8400.2602391005548</v>
      </c>
      <c r="I33" s="46">
        <f>SUM(I28:I32)</f>
        <v>9354.2602391005548</v>
      </c>
      <c r="J33" s="46">
        <f>SUM(J28:J32)</f>
        <v>11238.260239100555</v>
      </c>
      <c r="K33" s="46">
        <f t="shared" si="11"/>
        <v>1884</v>
      </c>
      <c r="L33" s="67"/>
      <c r="M33" s="46">
        <f>SUM(M28:M32)</f>
        <v>11155</v>
      </c>
      <c r="N33" s="46">
        <f>SUM(N28:N32)</f>
        <v>18883.260239100557</v>
      </c>
      <c r="O33" s="46">
        <f t="shared" si="12"/>
        <v>7728.2602391005566</v>
      </c>
      <c r="P33" s="70"/>
      <c r="Q33" s="69"/>
      <c r="R33" s="69"/>
      <c r="S33" s="69"/>
      <c r="T33" s="70"/>
    </row>
    <row r="34" spans="2:20" x14ac:dyDescent="0.25">
      <c r="B34" s="11" t="s">
        <v>113</v>
      </c>
      <c r="C34" s="88">
        <v>9.9699999999999997E-2</v>
      </c>
      <c r="D34" s="88">
        <v>9.9699999999999997E-2</v>
      </c>
      <c r="E34" s="88">
        <v>0.1191</v>
      </c>
      <c r="F34" s="88">
        <v>0.1191</v>
      </c>
      <c r="G34" s="88">
        <v>0.1361</v>
      </c>
      <c r="H34" s="88">
        <v>0.1361</v>
      </c>
      <c r="I34" s="88">
        <v>0.13609999999999997</v>
      </c>
      <c r="J34" s="88">
        <v>0.123</v>
      </c>
      <c r="K34" s="88">
        <f t="shared" si="11"/>
        <v>-1.3099999999999973E-2</v>
      </c>
      <c r="L34" s="89"/>
      <c r="M34" s="88">
        <v>0.123</v>
      </c>
      <c r="N34" s="88">
        <f>J34</f>
        <v>0.123</v>
      </c>
      <c r="O34" s="88">
        <f t="shared" si="12"/>
        <v>0</v>
      </c>
      <c r="P34" s="55"/>
      <c r="Q34" s="69"/>
      <c r="R34" s="69"/>
      <c r="S34" s="69"/>
      <c r="T34" s="55"/>
    </row>
    <row r="35" spans="2:20" x14ac:dyDescent="0.25">
      <c r="B35" s="14" t="s">
        <v>46</v>
      </c>
      <c r="C35" s="71"/>
      <c r="D35" s="71"/>
      <c r="E35" s="71"/>
      <c r="F35" s="71"/>
      <c r="G35" s="71"/>
      <c r="H35" s="71"/>
      <c r="I35" s="71"/>
      <c r="J35" s="71"/>
      <c r="K35" s="71"/>
      <c r="L35" s="67"/>
      <c r="M35" s="71"/>
      <c r="N35" s="71"/>
      <c r="O35" s="71"/>
      <c r="P35" s="55"/>
      <c r="Q35" s="69"/>
      <c r="R35" s="69"/>
      <c r="S35" s="69"/>
      <c r="T35" s="55"/>
    </row>
    <row r="36" spans="2:20" x14ac:dyDescent="0.25">
      <c r="B36" s="11" t="s">
        <v>114</v>
      </c>
      <c r="C36" s="49">
        <v>567.00000000000011</v>
      </c>
      <c r="D36" s="49">
        <v>567</v>
      </c>
      <c r="E36" s="49">
        <v>863.87649800000008</v>
      </c>
      <c r="F36" s="49">
        <v>863.87649800000008</v>
      </c>
      <c r="G36" s="49">
        <v>863.87649800000008</v>
      </c>
      <c r="H36" s="49">
        <v>863.87649799999997</v>
      </c>
      <c r="I36" s="49">
        <v>864</v>
      </c>
      <c r="J36" s="49">
        <v>1486</v>
      </c>
      <c r="K36" s="49">
        <f t="shared" si="11"/>
        <v>622</v>
      </c>
      <c r="L36" s="63"/>
      <c r="M36" s="49">
        <v>1114</v>
      </c>
      <c r="N36" s="49">
        <v>1114.21262763511</v>
      </c>
      <c r="O36" s="49">
        <f t="shared" ref="O36:O39" si="13">N36-M36</f>
        <v>0.21262763511003868</v>
      </c>
      <c r="P36" s="55"/>
      <c r="Q36" s="69"/>
      <c r="R36" s="69"/>
      <c r="S36" s="69"/>
      <c r="T36" s="55"/>
    </row>
    <row r="37" spans="2:20" x14ac:dyDescent="0.25">
      <c r="B37" s="11" t="s">
        <v>115</v>
      </c>
      <c r="C37" s="49">
        <v>525.66332335329355</v>
      </c>
      <c r="D37" s="49">
        <v>571.97426214071868</v>
      </c>
      <c r="E37" s="49">
        <v>903.09364590696111</v>
      </c>
      <c r="F37" s="49">
        <v>1001.5406495151198</v>
      </c>
      <c r="G37" s="49">
        <v>1156</v>
      </c>
      <c r="H37" s="49">
        <v>1337.2950444151948</v>
      </c>
      <c r="I37" s="49">
        <v>1506</v>
      </c>
      <c r="J37" s="49">
        <v>3044</v>
      </c>
      <c r="K37" s="49">
        <f t="shared" si="11"/>
        <v>1538</v>
      </c>
      <c r="L37" s="63"/>
      <c r="M37" s="49">
        <v>2283</v>
      </c>
      <c r="N37" s="49">
        <v>4077.3843836138126</v>
      </c>
      <c r="O37" s="49">
        <f t="shared" si="13"/>
        <v>1794.3843836138126</v>
      </c>
      <c r="P37" s="55"/>
      <c r="Q37" s="69"/>
      <c r="R37" s="69"/>
      <c r="S37" s="69"/>
      <c r="T37" s="55"/>
    </row>
    <row r="38" spans="2:20" x14ac:dyDescent="0.25">
      <c r="B38" s="11" t="s">
        <v>103</v>
      </c>
      <c r="C38" s="49">
        <v>619</v>
      </c>
      <c r="D38" s="49">
        <v>1269</v>
      </c>
      <c r="E38" s="49">
        <v>1599</v>
      </c>
      <c r="F38" s="49">
        <v>1573</v>
      </c>
      <c r="G38" s="49">
        <v>1605</v>
      </c>
      <c r="H38" s="49">
        <v>1418</v>
      </c>
      <c r="I38" s="49">
        <f>I29</f>
        <v>1790</v>
      </c>
      <c r="J38" s="49">
        <v>2800</v>
      </c>
      <c r="K38" s="49">
        <f t="shared" si="11"/>
        <v>1010</v>
      </c>
      <c r="L38" s="63"/>
      <c r="M38" s="49">
        <v>2078</v>
      </c>
      <c r="N38" s="49">
        <v>2305.7743681243328</v>
      </c>
      <c r="O38" s="49">
        <f t="shared" si="13"/>
        <v>227.7743681243328</v>
      </c>
      <c r="P38" s="55"/>
      <c r="Q38" s="69"/>
      <c r="R38" s="69"/>
      <c r="S38" s="69"/>
      <c r="T38" s="55"/>
    </row>
    <row r="39" spans="2:20" x14ac:dyDescent="0.25">
      <c r="B39" s="11" t="s">
        <v>116</v>
      </c>
      <c r="C39" s="88">
        <f>C38/C37-1</f>
        <v>0.17755980396596116</v>
      </c>
      <c r="D39" s="88">
        <f t="shared" ref="D39:I39" si="14">D38/D37-1</f>
        <v>1.2186312986366459</v>
      </c>
      <c r="E39" s="88">
        <f t="shared" si="14"/>
        <v>0.77058050097800468</v>
      </c>
      <c r="F39" s="88">
        <f t="shared" si="14"/>
        <v>0.57058028624354229</v>
      </c>
      <c r="G39" s="88">
        <f t="shared" si="14"/>
        <v>0.3884083044982698</v>
      </c>
      <c r="H39" s="88">
        <f t="shared" si="14"/>
        <v>6.0349401519017798E-2</v>
      </c>
      <c r="I39" s="88">
        <f t="shared" si="14"/>
        <v>0.18857901726427628</v>
      </c>
      <c r="J39" s="88">
        <v>-8.0157687253613719E-2</v>
      </c>
      <c r="K39" s="88">
        <f t="shared" si="11"/>
        <v>-0.26873670451789</v>
      </c>
      <c r="L39" s="89"/>
      <c r="M39" s="88">
        <v>-8.9794130530004401E-2</v>
      </c>
      <c r="N39" s="88">
        <v>-0.43449668925236085</v>
      </c>
      <c r="O39" s="88">
        <f t="shared" si="13"/>
        <v>-0.34470255872235644</v>
      </c>
      <c r="P39" s="55"/>
      <c r="Q39" s="69"/>
      <c r="R39" s="69"/>
      <c r="S39" s="69"/>
      <c r="T39" s="55"/>
    </row>
    <row r="40" spans="2:20" x14ac:dyDescent="0.25">
      <c r="B40" s="14" t="s">
        <v>117</v>
      </c>
      <c r="C40" s="72"/>
      <c r="D40" s="72"/>
      <c r="E40" s="72"/>
      <c r="F40" s="72"/>
      <c r="G40" s="72"/>
      <c r="H40" s="72"/>
      <c r="I40" s="72"/>
      <c r="J40" s="72"/>
      <c r="K40" s="72"/>
      <c r="L40" s="67"/>
      <c r="M40" s="72"/>
      <c r="N40" s="72"/>
      <c r="O40" s="72"/>
      <c r="P40" s="55"/>
      <c r="Q40" s="69"/>
      <c r="R40" s="69"/>
      <c r="S40" s="69"/>
      <c r="T40" s="55"/>
    </row>
    <row r="41" spans="2:20" x14ac:dyDescent="0.25">
      <c r="B41" s="11" t="s">
        <v>118</v>
      </c>
      <c r="C41" s="88">
        <v>7.8799999999999995E-2</v>
      </c>
      <c r="D41" s="88">
        <v>7.8799999999999995E-2</v>
      </c>
      <c r="E41" s="88">
        <v>0.08</v>
      </c>
      <c r="F41" s="88">
        <v>7.7499999999999999E-2</v>
      </c>
      <c r="G41" s="90">
        <v>7.6352424951418529E-2</v>
      </c>
      <c r="H41" s="90">
        <v>7.3323606072953129E-2</v>
      </c>
      <c r="I41" s="90">
        <v>7.1800000000000003E-2</v>
      </c>
      <c r="J41" s="90">
        <v>6.7599999999999993E-2</v>
      </c>
      <c r="K41" s="90">
        <f t="shared" si="11"/>
        <v>-4.2000000000000093E-3</v>
      </c>
      <c r="L41" s="89"/>
      <c r="M41" s="90">
        <v>6.7599999999999993E-2</v>
      </c>
      <c r="N41" s="90">
        <v>6.7799999999999999E-2</v>
      </c>
      <c r="O41" s="90">
        <f t="shared" ref="O41:O44" si="15">N41-M41</f>
        <v>2.0000000000000573E-4</v>
      </c>
      <c r="P41" s="55"/>
      <c r="Q41" s="69"/>
      <c r="R41" s="69"/>
      <c r="S41" s="69"/>
      <c r="T41" s="55"/>
    </row>
    <row r="42" spans="2:20" x14ac:dyDescent="0.25">
      <c r="B42" s="11" t="s">
        <v>119</v>
      </c>
      <c r="C42" s="88">
        <v>7.6799999999999993E-2</v>
      </c>
      <c r="D42" s="88">
        <v>7.0000000000000007E-2</v>
      </c>
      <c r="E42" s="88">
        <v>6.9800000000000001E-2</v>
      </c>
      <c r="F42" s="88">
        <v>6.0496507664818691E-2</v>
      </c>
      <c r="G42" s="90">
        <v>6.107955885564343E-2</v>
      </c>
      <c r="H42" s="90">
        <v>5.7048399613746324E-2</v>
      </c>
      <c r="I42" s="90">
        <v>6.0291549277044644E-2</v>
      </c>
      <c r="J42" s="90">
        <v>6.020449416271377E-2</v>
      </c>
      <c r="K42" s="90">
        <f t="shared" si="11"/>
        <v>-8.7055114330873706E-5</v>
      </c>
      <c r="L42" s="89"/>
      <c r="M42" s="90">
        <v>5.3419412050397297E-2</v>
      </c>
      <c r="N42" s="90">
        <v>5.5021490560861704E-2</v>
      </c>
      <c r="O42" s="90">
        <f t="shared" si="15"/>
        <v>1.6020785104644067E-3</v>
      </c>
      <c r="P42" s="55"/>
      <c r="Q42" s="69"/>
      <c r="R42" s="69"/>
      <c r="S42" s="69"/>
      <c r="T42" s="55"/>
    </row>
    <row r="43" spans="2:20" x14ac:dyDescent="0.25">
      <c r="B43" s="11" t="s">
        <v>120</v>
      </c>
      <c r="C43" s="88">
        <f>C41-C42</f>
        <v>2.0000000000000018E-3</v>
      </c>
      <c r="D43" s="88">
        <f>D41-D42</f>
        <v>8.7999999999999884E-3</v>
      </c>
      <c r="E43" s="88">
        <f>E41-E42</f>
        <v>1.0200000000000001E-2</v>
      </c>
      <c r="F43" s="88">
        <v>1.7003492335181308E-2</v>
      </c>
      <c r="G43" s="88">
        <f t="shared" ref="G43:J43" si="16">G41-G42</f>
        <v>1.5272866095775099E-2</v>
      </c>
      <c r="H43" s="88">
        <f t="shared" si="16"/>
        <v>1.6275206459206805E-2</v>
      </c>
      <c r="I43" s="88">
        <f t="shared" si="16"/>
        <v>1.1508450722955359E-2</v>
      </c>
      <c r="J43" s="88">
        <f t="shared" si="16"/>
        <v>7.3955058372862231E-3</v>
      </c>
      <c r="K43" s="90">
        <f t="shared" si="11"/>
        <v>-4.1129448856691356E-3</v>
      </c>
      <c r="L43" s="89"/>
      <c r="M43" s="88">
        <f t="shared" ref="M43:N43" si="17">M41-M42</f>
        <v>1.4180587949602697E-2</v>
      </c>
      <c r="N43" s="88">
        <f t="shared" si="17"/>
        <v>1.2778509439138296E-2</v>
      </c>
      <c r="O43" s="90">
        <f t="shared" si="15"/>
        <v>-1.402078510464401E-3</v>
      </c>
      <c r="P43" s="55"/>
      <c r="Q43" s="69"/>
      <c r="R43" s="69"/>
      <c r="S43" s="69"/>
      <c r="T43" s="55"/>
    </row>
    <row r="44" spans="2:20" x14ac:dyDescent="0.25">
      <c r="B44" s="11" t="s">
        <v>121</v>
      </c>
      <c r="C44" s="73">
        <v>14.3</v>
      </c>
      <c r="D44" s="73">
        <v>15</v>
      </c>
      <c r="E44" s="73">
        <v>15.3</v>
      </c>
      <c r="F44" s="73">
        <v>16</v>
      </c>
      <c r="G44" s="73">
        <v>16.2</v>
      </c>
      <c r="H44" s="73">
        <v>15.9</v>
      </c>
      <c r="I44" s="73">
        <v>15.7568085397094</v>
      </c>
      <c r="J44" s="73">
        <v>16.516521385410659</v>
      </c>
      <c r="K44" s="73">
        <f t="shared" si="11"/>
        <v>0.75971284570125874</v>
      </c>
      <c r="L44" s="63"/>
      <c r="M44" s="73">
        <v>12.147432301728021</v>
      </c>
      <c r="N44" s="73">
        <v>12.432153989585144</v>
      </c>
      <c r="O44" s="73">
        <f t="shared" si="15"/>
        <v>0.28472168785712348</v>
      </c>
      <c r="P44" s="55"/>
      <c r="Q44" s="69"/>
      <c r="R44" s="69"/>
      <c r="S44" s="69"/>
      <c r="T44" s="55"/>
    </row>
    <row r="45" spans="2:20" x14ac:dyDescent="0.25">
      <c r="B45" s="14" t="s">
        <v>122</v>
      </c>
      <c r="C45" s="72"/>
      <c r="D45" s="72"/>
      <c r="E45" s="72"/>
      <c r="F45" s="72"/>
      <c r="G45" s="72"/>
      <c r="H45" s="72"/>
      <c r="I45" s="72"/>
      <c r="J45" s="72"/>
      <c r="K45" s="72"/>
      <c r="L45" s="67"/>
      <c r="M45" s="72"/>
      <c r="N45" s="72"/>
      <c r="O45" s="72"/>
      <c r="P45" s="55"/>
      <c r="Q45" s="69"/>
      <c r="R45" s="69"/>
      <c r="S45" s="69"/>
      <c r="T45" s="55"/>
    </row>
    <row r="46" spans="2:20" x14ac:dyDescent="0.25">
      <c r="B46" s="11" t="s">
        <v>118</v>
      </c>
      <c r="C46" s="88">
        <v>6.6100000000000006E-2</v>
      </c>
      <c r="D46" s="88">
        <v>6.6100000000000006E-2</v>
      </c>
      <c r="E46" s="88">
        <v>7.6100000000000001E-2</v>
      </c>
      <c r="F46" s="90">
        <v>7.6316666666666672E-2</v>
      </c>
      <c r="G46" s="90">
        <v>7.4955134146130781E-2</v>
      </c>
      <c r="H46" s="90">
        <v>7.3127731018089281E-2</v>
      </c>
      <c r="I46" s="90">
        <v>7.1499999999999994E-2</v>
      </c>
      <c r="J46" s="90">
        <v>6.6199999999999995E-2</v>
      </c>
      <c r="K46" s="90">
        <f t="shared" si="11"/>
        <v>-5.2999999999999992E-3</v>
      </c>
      <c r="L46" s="89"/>
      <c r="M46" s="90">
        <v>6.6199999999999995E-2</v>
      </c>
      <c r="N46" s="90">
        <v>6.5000000000000002E-2</v>
      </c>
      <c r="O46" s="90">
        <f t="shared" ref="O46:O49" si="18">N46-M46</f>
        <v>-1.1999999999999927E-3</v>
      </c>
      <c r="P46" s="55"/>
      <c r="Q46" s="69"/>
      <c r="R46" s="69"/>
      <c r="S46" s="69"/>
      <c r="T46" s="55"/>
    </row>
    <row r="47" spans="2:20" x14ac:dyDescent="0.25">
      <c r="B47" s="11" t="s">
        <v>119</v>
      </c>
      <c r="C47" s="88">
        <v>7.2000000000000008E-2</v>
      </c>
      <c r="D47" s="88">
        <v>7.0200000000000012E-2</v>
      </c>
      <c r="E47" s="88">
        <v>6.7799999999999999E-2</v>
      </c>
      <c r="F47" s="90">
        <v>6.1040921531194961E-2</v>
      </c>
      <c r="G47" s="90">
        <v>6.0422329224719774E-2</v>
      </c>
      <c r="H47" s="90">
        <v>5.4954367895907096E-2</v>
      </c>
      <c r="I47" s="90">
        <v>5.756612038884245E-2</v>
      </c>
      <c r="J47" s="90">
        <v>5.3489093013954069E-2</v>
      </c>
      <c r="K47" s="90">
        <f t="shared" si="11"/>
        <v>-4.0770273748883812E-3</v>
      </c>
      <c r="L47" s="89"/>
      <c r="M47" s="90">
        <v>4.9575121864566959E-2</v>
      </c>
      <c r="N47" s="90">
        <v>4.4832070287304182E-2</v>
      </c>
      <c r="O47" s="90">
        <f t="shared" si="18"/>
        <v>-4.7430515772627774E-3</v>
      </c>
      <c r="P47" s="55"/>
      <c r="Q47" s="69"/>
      <c r="R47" s="69"/>
      <c r="S47" s="69"/>
      <c r="T47" s="55"/>
    </row>
    <row r="48" spans="2:20" x14ac:dyDescent="0.25">
      <c r="B48" s="11" t="s">
        <v>120</v>
      </c>
      <c r="C48" s="88">
        <f>C46-C47</f>
        <v>-5.9000000000000025E-3</v>
      </c>
      <c r="D48" s="88">
        <f>D46-D47</f>
        <v>-4.1000000000000064E-3</v>
      </c>
      <c r="E48" s="88">
        <f>E46-E47</f>
        <v>8.3000000000000018E-3</v>
      </c>
      <c r="F48" s="90">
        <v>1.5275745135471711E-2</v>
      </c>
      <c r="G48" s="88">
        <f t="shared" ref="G48:J48" si="19">G46-G47</f>
        <v>1.4532804921411006E-2</v>
      </c>
      <c r="H48" s="88">
        <f t="shared" si="19"/>
        <v>1.8173363122182186E-2</v>
      </c>
      <c r="I48" s="88">
        <f t="shared" si="19"/>
        <v>1.3933879611157544E-2</v>
      </c>
      <c r="J48" s="88">
        <f t="shared" si="19"/>
        <v>1.2710906986045926E-2</v>
      </c>
      <c r="K48" s="90">
        <f t="shared" si="11"/>
        <v>-1.222972625111618E-3</v>
      </c>
      <c r="L48" s="89"/>
      <c r="M48" s="88">
        <f t="shared" ref="M48:N48" si="20">M46-M47</f>
        <v>1.6624878135433035E-2</v>
      </c>
      <c r="N48" s="88">
        <f t="shared" si="20"/>
        <v>2.016792971269582E-2</v>
      </c>
      <c r="O48" s="90">
        <f t="shared" si="18"/>
        <v>3.5430515772627846E-3</v>
      </c>
      <c r="P48" s="55"/>
      <c r="Q48" s="69"/>
      <c r="R48" s="69"/>
      <c r="S48" s="69"/>
      <c r="T48" s="55"/>
    </row>
    <row r="49" spans="2:20" x14ac:dyDescent="0.25">
      <c r="B49" s="11" t="s">
        <v>121</v>
      </c>
      <c r="C49" s="73">
        <v>11.1</v>
      </c>
      <c r="D49" s="73">
        <v>11.6</v>
      </c>
      <c r="E49" s="73">
        <v>11.9</v>
      </c>
      <c r="F49" s="73">
        <v>12.3</v>
      </c>
      <c r="G49" s="73">
        <v>12.6</v>
      </c>
      <c r="H49" s="73">
        <v>12.4</v>
      </c>
      <c r="I49" s="73">
        <v>12.098271876945752</v>
      </c>
      <c r="J49" s="73">
        <v>12.639582102216716</v>
      </c>
      <c r="K49" s="73">
        <f t="shared" si="11"/>
        <v>0.54131022527096384</v>
      </c>
      <c r="L49" s="63"/>
      <c r="M49" s="73">
        <v>9.3154796440086436</v>
      </c>
      <c r="N49" s="73">
        <v>9.7865923188787356</v>
      </c>
      <c r="O49" s="73">
        <f t="shared" si="18"/>
        <v>0.47111267487009201</v>
      </c>
      <c r="P49" s="55"/>
      <c r="Q49" s="69"/>
      <c r="R49" s="69"/>
      <c r="S49" s="69"/>
      <c r="T49" s="55"/>
    </row>
    <row r="50" spans="2:20" x14ac:dyDescent="0.25">
      <c r="B50" s="14" t="s">
        <v>123</v>
      </c>
      <c r="C50" s="72"/>
      <c r="D50" s="72"/>
      <c r="E50" s="72"/>
      <c r="F50" s="72"/>
      <c r="G50" s="72"/>
      <c r="H50" s="72"/>
      <c r="I50" s="72"/>
      <c r="J50" s="72"/>
      <c r="K50" s="72"/>
      <c r="L50" s="67"/>
      <c r="M50" s="72"/>
      <c r="N50" s="72"/>
      <c r="O50" s="72"/>
      <c r="P50" s="55"/>
      <c r="Q50" s="69"/>
      <c r="R50" s="69"/>
      <c r="S50" s="69"/>
      <c r="T50" s="55"/>
    </row>
    <row r="51" spans="2:20" x14ac:dyDescent="0.25">
      <c r="B51" s="11" t="s">
        <v>118</v>
      </c>
      <c r="C51" s="88">
        <v>0.1124</v>
      </c>
      <c r="D51" s="88">
        <v>0.1171</v>
      </c>
      <c r="E51" s="88">
        <v>0.13589999999999999</v>
      </c>
      <c r="F51" s="88">
        <v>0.13320000000000001</v>
      </c>
      <c r="G51" s="90">
        <v>0.1234</v>
      </c>
      <c r="H51" s="90">
        <v>0.11736455562286591</v>
      </c>
      <c r="I51" s="90">
        <v>0.1154</v>
      </c>
      <c r="J51" s="90">
        <v>0.1143</v>
      </c>
      <c r="K51" s="90">
        <f t="shared" si="11"/>
        <v>-1.1000000000000038E-3</v>
      </c>
      <c r="L51" s="89"/>
      <c r="M51" s="90">
        <v>0.1143</v>
      </c>
      <c r="N51" s="90">
        <v>0.11539999999999999</v>
      </c>
      <c r="O51" s="90">
        <f t="shared" ref="O51:O54" si="21">N51-M51</f>
        <v>1.0999999999999899E-3</v>
      </c>
      <c r="P51" s="55"/>
      <c r="Q51" s="69"/>
      <c r="R51" s="69"/>
      <c r="S51" s="69"/>
      <c r="T51" s="55"/>
    </row>
    <row r="52" spans="2:20" x14ac:dyDescent="0.25">
      <c r="B52" s="11" t="s">
        <v>119</v>
      </c>
      <c r="C52" s="88">
        <v>0.1318</v>
      </c>
      <c r="D52" s="88">
        <v>0.12498657911970756</v>
      </c>
      <c r="E52" s="88">
        <v>0.12119999999999999</v>
      </c>
      <c r="F52" s="88">
        <v>0.1136432884121565</v>
      </c>
      <c r="G52" s="90">
        <v>0.11852468775041411</v>
      </c>
      <c r="H52" s="90">
        <v>0.11381892467839186</v>
      </c>
      <c r="I52" s="90">
        <v>0.11403420074108145</v>
      </c>
      <c r="J52" s="90">
        <v>0.11296621112850605</v>
      </c>
      <c r="K52" s="90">
        <f t="shared" si="11"/>
        <v>-1.0679896125753985E-3</v>
      </c>
      <c r="L52" s="89"/>
      <c r="M52" s="90">
        <v>0.11222937022392146</v>
      </c>
      <c r="N52" s="90">
        <v>0.12004792236333167</v>
      </c>
      <c r="O52" s="90">
        <f t="shared" si="21"/>
        <v>7.818552139410212E-3</v>
      </c>
      <c r="P52" s="55"/>
      <c r="Q52" s="69"/>
      <c r="R52" s="69"/>
      <c r="S52" s="69"/>
      <c r="T52" s="55"/>
    </row>
    <row r="53" spans="2:20" x14ac:dyDescent="0.25">
      <c r="B53" s="11" t="s">
        <v>120</v>
      </c>
      <c r="C53" s="88">
        <f>C51-C52</f>
        <v>-1.9400000000000001E-2</v>
      </c>
      <c r="D53" s="88">
        <f>D51-D52</f>
        <v>-7.886579119707568E-3</v>
      </c>
      <c r="E53" s="88">
        <f>E51-E52</f>
        <v>1.4700000000000005E-2</v>
      </c>
      <c r="F53" s="88">
        <v>1.9556711587843514E-2</v>
      </c>
      <c r="G53" s="88">
        <f t="shared" ref="G53:H53" si="22">G51-G52</f>
        <v>4.8753122495858864E-3</v>
      </c>
      <c r="H53" s="88">
        <f t="shared" si="22"/>
        <v>3.5456309444740486E-3</v>
      </c>
      <c r="I53" s="88">
        <f>I51-I52</f>
        <v>1.3657992589185541E-3</v>
      </c>
      <c r="J53" s="88">
        <v>1.3337888714939489E-3</v>
      </c>
      <c r="K53" s="90">
        <f t="shared" si="11"/>
        <v>-3.2010387424605269E-5</v>
      </c>
      <c r="L53" s="89"/>
      <c r="M53" s="88">
        <v>2.0706297760785392E-3</v>
      </c>
      <c r="N53" s="88">
        <f t="shared" ref="N53" si="23">N51-N52</f>
        <v>-4.647922363331683E-3</v>
      </c>
      <c r="O53" s="90">
        <f t="shared" si="21"/>
        <v>-6.7185521394102221E-3</v>
      </c>
      <c r="P53" s="55"/>
      <c r="Q53" s="69"/>
      <c r="R53" s="69"/>
      <c r="S53" s="69"/>
      <c r="T53" s="55"/>
    </row>
    <row r="54" spans="2:20" x14ac:dyDescent="0.25">
      <c r="B54" s="11" t="s">
        <v>121</v>
      </c>
      <c r="C54" s="73">
        <v>14.9</v>
      </c>
      <c r="D54" s="73">
        <v>15.7</v>
      </c>
      <c r="E54" s="73">
        <v>16.3</v>
      </c>
      <c r="F54" s="73">
        <v>17.2</v>
      </c>
      <c r="G54" s="73">
        <v>17.399999999999999</v>
      </c>
      <c r="H54" s="73">
        <v>17.600000000000001</v>
      </c>
      <c r="I54" s="73">
        <v>18.197716268826294</v>
      </c>
      <c r="J54" s="73">
        <v>18.80675140622996</v>
      </c>
      <c r="K54" s="73">
        <f t="shared" si="11"/>
        <v>0.60903513740366577</v>
      </c>
      <c r="L54" s="63"/>
      <c r="M54" s="73">
        <v>14.401256791648217</v>
      </c>
      <c r="N54" s="73">
        <v>14.511779300269243</v>
      </c>
      <c r="O54" s="73">
        <f t="shared" si="21"/>
        <v>0.11052250862102575</v>
      </c>
      <c r="P54" s="55"/>
      <c r="Q54" s="69"/>
      <c r="R54" s="69"/>
      <c r="S54" s="69"/>
      <c r="T54" s="55"/>
    </row>
    <row r="55" spans="2:20" x14ac:dyDescent="0.25">
      <c r="B55" s="14" t="s">
        <v>124</v>
      </c>
      <c r="C55" s="72"/>
      <c r="D55" s="72"/>
      <c r="E55" s="72"/>
      <c r="F55" s="72"/>
      <c r="G55" s="72"/>
      <c r="H55" s="72"/>
      <c r="I55" s="72"/>
      <c r="J55" s="72"/>
      <c r="K55" s="72"/>
      <c r="L55" s="63"/>
      <c r="M55" s="72"/>
      <c r="N55" s="72"/>
      <c r="O55" s="72"/>
      <c r="P55" s="55"/>
      <c r="Q55" s="69"/>
      <c r="R55" s="69"/>
      <c r="S55" s="69"/>
      <c r="T55" s="55"/>
    </row>
    <row r="56" spans="2:20" x14ac:dyDescent="0.25">
      <c r="B56" s="11" t="s">
        <v>125</v>
      </c>
      <c r="C56" s="49">
        <v>7</v>
      </c>
      <c r="D56" s="49">
        <v>17</v>
      </c>
      <c r="E56" s="49">
        <v>36</v>
      </c>
      <c r="F56" s="49">
        <v>206</v>
      </c>
      <c r="G56" s="49">
        <v>314</v>
      </c>
      <c r="H56" s="49">
        <v>329</v>
      </c>
      <c r="I56" s="49">
        <v>315</v>
      </c>
      <c r="J56" s="49">
        <v>317.80665096400003</v>
      </c>
      <c r="K56" s="49">
        <f t="shared" si="11"/>
        <v>2.8066509640000277</v>
      </c>
      <c r="L56" s="63"/>
      <c r="M56" s="49">
        <v>226</v>
      </c>
      <c r="N56" s="49">
        <f>N10-N57</f>
        <v>551</v>
      </c>
      <c r="O56" s="49">
        <f t="shared" ref="O56:O57" si="24">N56-M56</f>
        <v>325</v>
      </c>
      <c r="P56" s="55"/>
      <c r="Q56" s="69"/>
      <c r="R56" s="69"/>
      <c r="S56" s="69"/>
      <c r="T56" s="55"/>
    </row>
    <row r="57" spans="2:20" x14ac:dyDescent="0.25">
      <c r="B57" s="11" t="s">
        <v>126</v>
      </c>
      <c r="C57" s="49">
        <v>0</v>
      </c>
      <c r="D57" s="49">
        <v>0</v>
      </c>
      <c r="E57" s="49">
        <v>18</v>
      </c>
      <c r="F57" s="49">
        <v>71</v>
      </c>
      <c r="G57" s="49">
        <v>99</v>
      </c>
      <c r="H57" s="49">
        <v>137</v>
      </c>
      <c r="I57" s="49">
        <v>131</v>
      </c>
      <c r="J57" s="49">
        <v>104.42475368000001</v>
      </c>
      <c r="K57" s="49">
        <f t="shared" si="11"/>
        <v>-26.575246319999991</v>
      </c>
      <c r="L57" s="63"/>
      <c r="M57" s="49">
        <v>73</v>
      </c>
      <c r="N57" s="49">
        <v>100</v>
      </c>
      <c r="O57" s="49">
        <f t="shared" si="24"/>
        <v>27</v>
      </c>
      <c r="P57" s="55"/>
      <c r="Q57" s="69"/>
      <c r="R57" s="69"/>
      <c r="S57" s="69"/>
      <c r="T57" s="55"/>
    </row>
    <row r="58" spans="2:20" x14ac:dyDescent="0.25">
      <c r="B58" s="14" t="s">
        <v>34</v>
      </c>
      <c r="C58" s="72"/>
      <c r="D58" s="72"/>
      <c r="E58" s="72"/>
      <c r="F58" s="72"/>
      <c r="G58" s="72"/>
      <c r="H58" s="72"/>
      <c r="I58" s="72"/>
      <c r="J58" s="72"/>
      <c r="K58" s="72"/>
      <c r="L58" s="67"/>
      <c r="M58" s="72"/>
      <c r="N58" s="72"/>
      <c r="O58" s="72"/>
      <c r="P58" s="55"/>
      <c r="Q58" s="69"/>
      <c r="R58" s="69"/>
      <c r="S58" s="69"/>
      <c r="T58" s="55"/>
    </row>
    <row r="59" spans="2:20" x14ac:dyDescent="0.25">
      <c r="B59" s="7" t="s">
        <v>127</v>
      </c>
      <c r="C59" s="74">
        <v>207106</v>
      </c>
      <c r="D59" s="74">
        <v>211378</v>
      </c>
      <c r="E59" s="74">
        <v>217853</v>
      </c>
      <c r="F59" s="74">
        <v>219920</v>
      </c>
      <c r="G59" s="74">
        <v>226708</v>
      </c>
      <c r="H59" s="74">
        <v>231582</v>
      </c>
      <c r="I59" s="74">
        <v>236064</v>
      </c>
      <c r="J59" s="74">
        <v>309907</v>
      </c>
      <c r="K59" s="74">
        <f t="shared" si="11"/>
        <v>73843</v>
      </c>
      <c r="L59" s="63"/>
      <c r="M59" s="74">
        <v>245943.19</v>
      </c>
      <c r="N59" s="74">
        <v>316376</v>
      </c>
      <c r="O59" s="74">
        <f t="shared" ref="O59:O60" si="25">N59-M59</f>
        <v>70432.81</v>
      </c>
      <c r="P59" s="55"/>
      <c r="Q59" s="69"/>
      <c r="R59" s="69"/>
      <c r="S59" s="69"/>
      <c r="T59" s="55"/>
    </row>
    <row r="60" spans="2:20" x14ac:dyDescent="0.25">
      <c r="B60" s="7" t="s">
        <v>128</v>
      </c>
      <c r="C60" s="75">
        <v>9.9</v>
      </c>
      <c r="D60" s="75">
        <v>10.199999999999999</v>
      </c>
      <c r="E60" s="75">
        <v>10.5</v>
      </c>
      <c r="F60" s="75">
        <v>10.9</v>
      </c>
      <c r="G60" s="75">
        <v>10.9</v>
      </c>
      <c r="H60" s="75">
        <v>11.2</v>
      </c>
      <c r="I60" s="75">
        <v>11.446</v>
      </c>
      <c r="J60" s="75">
        <v>11.686964</v>
      </c>
      <c r="K60" s="75">
        <f t="shared" si="11"/>
        <v>0.24096399999999996</v>
      </c>
      <c r="L60" s="63"/>
      <c r="M60" s="75">
        <v>11.632020000000001</v>
      </c>
      <c r="N60" s="75">
        <v>11.838639000000001</v>
      </c>
      <c r="O60" s="75">
        <f t="shared" si="25"/>
        <v>0.20661899999999989</v>
      </c>
      <c r="P60" s="55"/>
      <c r="Q60" s="69"/>
      <c r="R60" s="69"/>
      <c r="S60" s="69"/>
      <c r="T60" s="55"/>
    </row>
    <row r="61" spans="2:20" x14ac:dyDescent="0.25">
      <c r="C61" s="76"/>
      <c r="D61" s="76"/>
      <c r="E61" s="76"/>
      <c r="F61" s="47"/>
      <c r="G61" s="47"/>
      <c r="H61" s="47"/>
      <c r="I61" s="47"/>
      <c r="J61" s="47"/>
      <c r="K61" s="47"/>
      <c r="L61" s="63"/>
      <c r="M61" s="63"/>
      <c r="N61" s="63"/>
      <c r="O61" s="63"/>
      <c r="P61" s="55"/>
      <c r="Q61" s="69"/>
      <c r="R61" s="69"/>
      <c r="S61" s="69"/>
      <c r="T61" s="55"/>
    </row>
    <row r="62" spans="2:20" x14ac:dyDescent="0.25">
      <c r="C62" s="77"/>
      <c r="D62" s="77"/>
      <c r="E62" s="77"/>
      <c r="F62" s="77"/>
      <c r="G62" s="77"/>
      <c r="H62" s="77"/>
      <c r="I62" s="77"/>
      <c r="J62" s="77"/>
      <c r="K62" s="47"/>
      <c r="L62" s="63"/>
      <c r="M62" s="68"/>
      <c r="N62" s="68"/>
      <c r="O62" s="63"/>
      <c r="Q62" s="68"/>
      <c r="R62" s="68"/>
      <c r="S62" s="63"/>
    </row>
    <row r="63" spans="2:20" x14ac:dyDescent="0.25">
      <c r="C63" s="47"/>
      <c r="D63" s="47"/>
      <c r="E63" s="47"/>
      <c r="F63" s="47"/>
      <c r="G63" s="47"/>
      <c r="H63" s="77"/>
      <c r="I63" s="77"/>
      <c r="J63" s="47"/>
      <c r="K63" s="47"/>
      <c r="L63" s="63"/>
      <c r="M63" s="68"/>
      <c r="N63" s="68"/>
      <c r="O63" s="63"/>
      <c r="Q63" s="68"/>
      <c r="R63" s="68"/>
      <c r="S63" s="63"/>
    </row>
    <row r="64" spans="2:20" x14ac:dyDescent="0.25">
      <c r="H64" s="1"/>
      <c r="I64" s="1"/>
      <c r="J64" s="1"/>
      <c r="M64" s="78"/>
      <c r="N64" s="78"/>
      <c r="Q64" s="78"/>
      <c r="R64" s="78"/>
    </row>
    <row r="66" spans="3:11" x14ac:dyDescent="0.25">
      <c r="C66" s="1"/>
      <c r="D66" s="1"/>
      <c r="E66" s="1"/>
      <c r="F66" s="1"/>
      <c r="G66" s="1"/>
      <c r="H66" s="1"/>
      <c r="I66" s="1"/>
      <c r="J66" s="1"/>
      <c r="K66" s="1"/>
    </row>
  </sheetData>
  <pageMargins left="0.7" right="0.7" top="0.75" bottom="0.75" header="0.3" footer="0.3"/>
  <pageSetup paperSize="9" scale="54" fitToWidth="0" fitToHeight="0" orientation="landscape" r:id="rId1"/>
  <headerFooter>
    <oddFooter>&amp;R&amp;"verdana,Regular"Genele Açık</oddFooter>
  </headerFooter>
  <ignoredErrors>
    <ignoredError sqref="Q6:S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Konsolide</vt:lpstr>
      <vt:lpstr>Perakende &amp; Müşteri Çözümleri</vt:lpstr>
      <vt:lpstr>Dağıtım</vt:lpstr>
      <vt:lpstr>'Perakende &amp; Müşteri Çözümleri'!Yazdırma_Alanı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Burak SIMSEK</cp:lastModifiedBy>
  <cp:lastPrinted>2022-10-31T13:00:13Z</cp:lastPrinted>
  <dcterms:created xsi:type="dcterms:W3CDTF">2022-10-31T09:56:40Z</dcterms:created>
  <dcterms:modified xsi:type="dcterms:W3CDTF">2022-11-01T10:23:08Z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f28b75f9-2c54-4d1b-bc0d-c791e6903e05</vt:lpwstr>
  </property>
  <property fmtid="{D5CDD505-2E9C-101B-9397-08002B2CF9AE}" pid="3" name="FirstClassifierName">
    <vt:lpwstr>Burak SIMSEK</vt:lpwstr>
  </property>
  <property fmtid="{D5CDD505-2E9C-101B-9397-08002B2CF9AE}" pid="4" name="FirstClassifiedDate">
    <vt:lpwstr>31.10.2022, 13:46</vt:lpwstr>
  </property>
  <property fmtid="{D5CDD505-2E9C-101B-9397-08002B2CF9AE}" pid="5" name="LastClassifiedDate">
    <vt:lpwstr>31.10.2022, 13:46</vt:lpwstr>
  </property>
  <property fmtid="{D5CDD505-2E9C-101B-9397-08002B2CF9AE}" pid="6" name="LastClassifierName">
    <vt:lpwstr>Burak SIMSEK</vt:lpwstr>
  </property>
  <property fmtid="{D5CDD505-2E9C-101B-9397-08002B2CF9AE}" pid="7" name="CLASSIFICATION">
    <vt:lpwstr>I4886p293727nO8</vt:lpwstr>
  </property>
</Properties>
</file>