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ERJISA\CFO\Investor Relations\4. Presentations\8. Earnings Presentation\2022\10Aug\Fact Sheet\"/>
    </mc:Choice>
  </mc:AlternateContent>
  <bookViews>
    <workbookView xWindow="0" yWindow="0" windowWidth="19200" windowHeight="6465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3" l="1"/>
  <c r="O59" i="3"/>
  <c r="K57" i="3"/>
  <c r="K56" i="3"/>
  <c r="O54" i="3"/>
  <c r="I53" i="3"/>
  <c r="K53" i="3" s="1"/>
  <c r="H53" i="3"/>
  <c r="G53" i="3"/>
  <c r="E53" i="3"/>
  <c r="D53" i="3"/>
  <c r="C53" i="3"/>
  <c r="K52" i="3"/>
  <c r="K51" i="3"/>
  <c r="K49" i="3"/>
  <c r="M48" i="3"/>
  <c r="J48" i="3"/>
  <c r="H48" i="3"/>
  <c r="G48" i="3"/>
  <c r="E48" i="3"/>
  <c r="D48" i="3"/>
  <c r="C48" i="3"/>
  <c r="O47" i="3"/>
  <c r="K47" i="3"/>
  <c r="N48" i="3"/>
  <c r="O48" i="3" s="1"/>
  <c r="K46" i="3"/>
  <c r="I48" i="3"/>
  <c r="O44" i="3"/>
  <c r="K44" i="3"/>
  <c r="N43" i="3"/>
  <c r="M43" i="3"/>
  <c r="H43" i="3"/>
  <c r="G43" i="3"/>
  <c r="E43" i="3"/>
  <c r="D43" i="3"/>
  <c r="C43" i="3"/>
  <c r="O42" i="3"/>
  <c r="K42" i="3"/>
  <c r="O41" i="3"/>
  <c r="K41" i="3"/>
  <c r="I43" i="3"/>
  <c r="O39" i="3"/>
  <c r="H39" i="3"/>
  <c r="G39" i="3"/>
  <c r="F39" i="3"/>
  <c r="E39" i="3"/>
  <c r="D39" i="3"/>
  <c r="C39" i="3"/>
  <c r="O37" i="3"/>
  <c r="K37" i="3"/>
  <c r="O32" i="3"/>
  <c r="K31" i="3"/>
  <c r="O30" i="3"/>
  <c r="I30" i="3"/>
  <c r="O29" i="3"/>
  <c r="I29" i="3"/>
  <c r="K29" i="3" s="1"/>
  <c r="M33" i="3"/>
  <c r="I28" i="3"/>
  <c r="H28" i="3"/>
  <c r="G28" i="3"/>
  <c r="F28" i="3"/>
  <c r="E28" i="3"/>
  <c r="D28" i="3"/>
  <c r="O22" i="3"/>
  <c r="O21" i="3"/>
  <c r="M23" i="3"/>
  <c r="O20" i="3"/>
  <c r="K20" i="3"/>
  <c r="O19" i="3"/>
  <c r="N23" i="3"/>
  <c r="K19" i="3"/>
  <c r="I23" i="3"/>
  <c r="O17" i="3"/>
  <c r="K17" i="3"/>
  <c r="O15" i="3"/>
  <c r="O13" i="3"/>
  <c r="K13" i="3"/>
  <c r="O12" i="3"/>
  <c r="K12" i="3"/>
  <c r="O11" i="3"/>
  <c r="K11" i="3"/>
  <c r="O10" i="3"/>
  <c r="K10" i="3"/>
  <c r="K9" i="3"/>
  <c r="O7" i="3"/>
  <c r="I6" i="3"/>
  <c r="I14" i="3" s="1"/>
  <c r="M14" i="3"/>
  <c r="K5" i="3"/>
  <c r="O4" i="3"/>
  <c r="K4" i="3"/>
  <c r="O57" i="2"/>
  <c r="K57" i="2"/>
  <c r="O56" i="2"/>
  <c r="K56" i="2"/>
  <c r="O54" i="2"/>
  <c r="K54" i="2"/>
  <c r="O53" i="2"/>
  <c r="K53" i="2"/>
  <c r="O51" i="2"/>
  <c r="K51" i="2"/>
  <c r="K50" i="2"/>
  <c r="K48" i="2"/>
  <c r="O47" i="2"/>
  <c r="O46" i="2"/>
  <c r="K46" i="2"/>
  <c r="O45" i="2"/>
  <c r="K45" i="2"/>
  <c r="O44" i="2"/>
  <c r="K44" i="2"/>
  <c r="O43" i="2"/>
  <c r="J41" i="2"/>
  <c r="K42" i="2"/>
  <c r="K40" i="2"/>
  <c r="J39" i="2"/>
  <c r="O33" i="2"/>
  <c r="K33" i="2"/>
  <c r="K32" i="2"/>
  <c r="I34" i="2"/>
  <c r="H34" i="2"/>
  <c r="G34" i="2"/>
  <c r="O31" i="2"/>
  <c r="O29" i="2"/>
  <c r="O28" i="2"/>
  <c r="G12" i="2"/>
  <c r="O27" i="2"/>
  <c r="J26" i="2"/>
  <c r="O25" i="2"/>
  <c r="O24" i="2"/>
  <c r="N26" i="2"/>
  <c r="M26" i="2"/>
  <c r="I26" i="2"/>
  <c r="H26" i="2"/>
  <c r="H30" i="2" s="1"/>
  <c r="H31" i="2" s="1"/>
  <c r="H16" i="2" s="1"/>
  <c r="G26" i="2"/>
  <c r="O18" i="2"/>
  <c r="H18" i="2"/>
  <c r="G18" i="2"/>
  <c r="O16" i="2"/>
  <c r="O15" i="2"/>
  <c r="K15" i="2"/>
  <c r="O14" i="2"/>
  <c r="K14" i="2"/>
  <c r="O12" i="2"/>
  <c r="H12" i="2"/>
  <c r="K11" i="2"/>
  <c r="K10" i="2"/>
  <c r="O9" i="2"/>
  <c r="H9" i="2"/>
  <c r="H8" i="2" s="1"/>
  <c r="G9" i="2"/>
  <c r="G8" i="2" s="1"/>
  <c r="F8" i="2"/>
  <c r="F13" i="2" s="1"/>
  <c r="E8" i="2"/>
  <c r="E13" i="2" s="1"/>
  <c r="D8" i="2"/>
  <c r="D13" i="2" s="1"/>
  <c r="C8" i="2"/>
  <c r="C13" i="2" s="1"/>
  <c r="O7" i="2"/>
  <c r="H7" i="2"/>
  <c r="G7" i="2"/>
  <c r="O5" i="2"/>
  <c r="O4" i="2"/>
  <c r="K3" i="2"/>
  <c r="K23" i="2" s="1"/>
  <c r="K2" i="2"/>
  <c r="K22" i="2" s="1"/>
  <c r="O67" i="1"/>
  <c r="O64" i="1"/>
  <c r="K64" i="1"/>
  <c r="O63" i="1"/>
  <c r="K63" i="1"/>
  <c r="O62" i="1"/>
  <c r="O61" i="1"/>
  <c r="M60" i="1"/>
  <c r="O60" i="1" s="1"/>
  <c r="I60" i="1"/>
  <c r="O57" i="1"/>
  <c r="K57" i="1"/>
  <c r="O56" i="1"/>
  <c r="K56" i="1"/>
  <c r="M55" i="1"/>
  <c r="M58" i="1" s="1"/>
  <c r="H55" i="1"/>
  <c r="H58" i="1" s="1"/>
  <c r="G55" i="1"/>
  <c r="F55" i="1"/>
  <c r="F58" i="1" s="1"/>
  <c r="E55" i="1"/>
  <c r="E58" i="1" s="1"/>
  <c r="D55" i="1"/>
  <c r="D58" i="1" s="1"/>
  <c r="C55" i="1"/>
  <c r="C58" i="1" s="1"/>
  <c r="I55" i="1"/>
  <c r="O53" i="1"/>
  <c r="J55" i="1"/>
  <c r="H51" i="1"/>
  <c r="G51" i="1"/>
  <c r="F51" i="1"/>
  <c r="K50" i="1"/>
  <c r="K46" i="1"/>
  <c r="K45" i="1"/>
  <c r="O44" i="1"/>
  <c r="O43" i="1"/>
  <c r="K40" i="1"/>
  <c r="O38" i="1"/>
  <c r="K38" i="1"/>
  <c r="O37" i="1"/>
  <c r="K37" i="1"/>
  <c r="O36" i="1"/>
  <c r="K36" i="1"/>
  <c r="K35" i="1"/>
  <c r="O34" i="1"/>
  <c r="K34" i="1"/>
  <c r="O33" i="1"/>
  <c r="O32" i="1"/>
  <c r="K32" i="1"/>
  <c r="O31" i="1"/>
  <c r="K31" i="1"/>
  <c r="K30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O22" i="1"/>
  <c r="O21" i="1"/>
  <c r="K21" i="1"/>
  <c r="K19" i="1"/>
  <c r="C18" i="1"/>
  <c r="C23" i="1" s="1"/>
  <c r="O17" i="1"/>
  <c r="O15" i="1"/>
  <c r="K15" i="1"/>
  <c r="K14" i="1"/>
  <c r="O13" i="1"/>
  <c r="K13" i="1"/>
  <c r="O10" i="1"/>
  <c r="G9" i="1"/>
  <c r="F16" i="1"/>
  <c r="F25" i="1" s="1"/>
  <c r="K8" i="1"/>
  <c r="O7" i="1"/>
  <c r="K7" i="1"/>
  <c r="M6" i="1"/>
  <c r="J6" i="1"/>
  <c r="I6" i="1"/>
  <c r="I9" i="1" s="1"/>
  <c r="H6" i="1"/>
  <c r="H9" i="1" s="1"/>
  <c r="G6" i="1"/>
  <c r="E6" i="1"/>
  <c r="E9" i="1" s="1"/>
  <c r="E16" i="1" s="1"/>
  <c r="E25" i="1" s="1"/>
  <c r="D6" i="1"/>
  <c r="D9" i="1" s="1"/>
  <c r="D16" i="1" s="1"/>
  <c r="C6" i="1"/>
  <c r="O5" i="1"/>
  <c r="K5" i="1"/>
  <c r="K4" i="1"/>
  <c r="K48" i="3" l="1"/>
  <c r="C39" i="1"/>
  <c r="F39" i="1"/>
  <c r="K10" i="1"/>
  <c r="K44" i="1"/>
  <c r="E39" i="1"/>
  <c r="K55" i="1"/>
  <c r="J58" i="1"/>
  <c r="J9" i="1"/>
  <c r="K6" i="1"/>
  <c r="O45" i="1"/>
  <c r="I58" i="1"/>
  <c r="K26" i="1"/>
  <c r="O35" i="1"/>
  <c r="O30" i="1"/>
  <c r="N29" i="1"/>
  <c r="E18" i="1"/>
  <c r="M9" i="1"/>
  <c r="C65" i="1"/>
  <c r="M29" i="1"/>
  <c r="N6" i="1"/>
  <c r="O4" i="1"/>
  <c r="O14" i="1"/>
  <c r="C47" i="1"/>
  <c r="F18" i="1"/>
  <c r="G16" i="1"/>
  <c r="C9" i="1"/>
  <c r="I16" i="1"/>
  <c r="H16" i="1"/>
  <c r="O8" i="1"/>
  <c r="D18" i="1"/>
  <c r="D25" i="1"/>
  <c r="K17" i="1"/>
  <c r="I29" i="1"/>
  <c r="K33" i="1"/>
  <c r="F17" i="2"/>
  <c r="K26" i="2"/>
  <c r="K7" i="3"/>
  <c r="J6" i="3"/>
  <c r="I18" i="3"/>
  <c r="I24" i="3" s="1"/>
  <c r="K15" i="3"/>
  <c r="K22" i="3"/>
  <c r="N55" i="1"/>
  <c r="K5" i="2"/>
  <c r="O10" i="2"/>
  <c r="G13" i="2"/>
  <c r="C17" i="2"/>
  <c r="G30" i="2"/>
  <c r="G31" i="2" s="1"/>
  <c r="G16" i="2" s="1"/>
  <c r="J23" i="3"/>
  <c r="K36" i="3"/>
  <c r="O38" i="3"/>
  <c r="O49" i="3"/>
  <c r="O52" i="3"/>
  <c r="N56" i="3"/>
  <c r="O56" i="3" s="1"/>
  <c r="J8" i="2"/>
  <c r="I8" i="2"/>
  <c r="K47" i="2"/>
  <c r="K22" i="1"/>
  <c r="K43" i="1"/>
  <c r="K53" i="1"/>
  <c r="K4" i="2"/>
  <c r="H13" i="2"/>
  <c r="M8" i="2"/>
  <c r="K9" i="2"/>
  <c r="K25" i="2"/>
  <c r="K28" i="2"/>
  <c r="K16" i="3"/>
  <c r="K32" i="3"/>
  <c r="O46" i="3"/>
  <c r="K18" i="2"/>
  <c r="N6" i="3"/>
  <c r="O6" i="3" s="1"/>
  <c r="N26" i="1"/>
  <c r="O26" i="1" s="1"/>
  <c r="K62" i="1"/>
  <c r="K67" i="1"/>
  <c r="O11" i="2"/>
  <c r="N8" i="2"/>
  <c r="K24" i="2"/>
  <c r="K27" i="2"/>
  <c r="O50" i="2"/>
  <c r="K8" i="3"/>
  <c r="I38" i="3"/>
  <c r="I33" i="3"/>
  <c r="O43" i="3"/>
  <c r="K54" i="1"/>
  <c r="O54" i="1"/>
  <c r="K60" i="1"/>
  <c r="N13" i="2"/>
  <c r="M30" i="2"/>
  <c r="M32" i="2" s="1"/>
  <c r="M34" i="2" s="1"/>
  <c r="J30" i="2"/>
  <c r="M41" i="2"/>
  <c r="O23" i="3"/>
  <c r="N34" i="3"/>
  <c r="O34" i="3" s="1"/>
  <c r="J29" i="1"/>
  <c r="K51" i="1"/>
  <c r="G58" i="1"/>
  <c r="D17" i="2"/>
  <c r="O26" i="2"/>
  <c r="N30" i="2"/>
  <c r="M18" i="3"/>
  <c r="K21" i="3"/>
  <c r="K34" i="3"/>
  <c r="N53" i="3"/>
  <c r="O53" i="3" s="1"/>
  <c r="E17" i="2"/>
  <c r="J34" i="2"/>
  <c r="K34" i="2" s="1"/>
  <c r="O42" i="2"/>
  <c r="N41" i="2"/>
  <c r="K30" i="3"/>
  <c r="K54" i="3"/>
  <c r="K37" i="2"/>
  <c r="I41" i="2"/>
  <c r="K43" i="2"/>
  <c r="J43" i="3"/>
  <c r="O57" i="3"/>
  <c r="K38" i="2"/>
  <c r="O5" i="3"/>
  <c r="K60" i="3"/>
  <c r="K59" i="3"/>
  <c r="O9" i="3"/>
  <c r="O51" i="3"/>
  <c r="O40" i="2"/>
  <c r="O48" i="2"/>
  <c r="O8" i="3"/>
  <c r="O16" i="3"/>
  <c r="O8" i="2" l="1"/>
  <c r="F19" i="2"/>
  <c r="D23" i="1"/>
  <c r="M39" i="2"/>
  <c r="J31" i="2"/>
  <c r="K29" i="1"/>
  <c r="E47" i="1"/>
  <c r="K8" i="2"/>
  <c r="N58" i="1"/>
  <c r="O58" i="1" s="1"/>
  <c r="O55" i="1"/>
  <c r="H18" i="1"/>
  <c r="H25" i="1"/>
  <c r="C48" i="1"/>
  <c r="K7" i="2"/>
  <c r="G18" i="1"/>
  <c r="G25" i="1"/>
  <c r="K23" i="3"/>
  <c r="F23" i="1"/>
  <c r="E19" i="2"/>
  <c r="I39" i="3"/>
  <c r="K38" i="3"/>
  <c r="H17" i="2"/>
  <c r="K12" i="2"/>
  <c r="I18" i="1"/>
  <c r="I25" i="1"/>
  <c r="K9" i="1"/>
  <c r="J16" i="1"/>
  <c r="M24" i="3"/>
  <c r="O30" i="2"/>
  <c r="N32" i="2"/>
  <c r="J28" i="3"/>
  <c r="N17" i="2"/>
  <c r="K29" i="2"/>
  <c r="M16" i="1"/>
  <c r="K43" i="3"/>
  <c r="K6" i="3"/>
  <c r="O29" i="1"/>
  <c r="I39" i="2"/>
  <c r="D19" i="2"/>
  <c r="J14" i="3"/>
  <c r="M13" i="2"/>
  <c r="O13" i="2" s="1"/>
  <c r="N14" i="3"/>
  <c r="C19" i="2"/>
  <c r="D39" i="1"/>
  <c r="E23" i="1"/>
  <c r="K58" i="1"/>
  <c r="I13" i="2"/>
  <c r="N39" i="2"/>
  <c r="O39" i="2" s="1"/>
  <c r="O41" i="2"/>
  <c r="K41" i="2"/>
  <c r="J13" i="2"/>
  <c r="G17" i="2"/>
  <c r="N9" i="1"/>
  <c r="O6" i="1"/>
  <c r="I30" i="2"/>
  <c r="I31" i="2" s="1"/>
  <c r="I61" i="1"/>
  <c r="F47" i="1"/>
  <c r="G23" i="1" l="1"/>
  <c r="H23" i="1"/>
  <c r="D47" i="1"/>
  <c r="K39" i="2"/>
  <c r="M18" i="1"/>
  <c r="M25" i="1"/>
  <c r="K31" i="2"/>
  <c r="K61" i="1"/>
  <c r="F65" i="1"/>
  <c r="I17" i="2"/>
  <c r="O9" i="1"/>
  <c r="N16" i="1"/>
  <c r="O14" i="3"/>
  <c r="N18" i="3"/>
  <c r="N19" i="2"/>
  <c r="H19" i="2"/>
  <c r="D65" i="1"/>
  <c r="I23" i="1"/>
  <c r="M17" i="2"/>
  <c r="O17" i="2" s="1"/>
  <c r="K28" i="3"/>
  <c r="J33" i="3"/>
  <c r="E48" i="1"/>
  <c r="K16" i="1"/>
  <c r="J18" i="1"/>
  <c r="J25" i="1"/>
  <c r="G19" i="2"/>
  <c r="J18" i="3"/>
  <c r="K14" i="3"/>
  <c r="I39" i="1"/>
  <c r="K30" i="2"/>
  <c r="F48" i="1"/>
  <c r="J17" i="2"/>
  <c r="K13" i="2"/>
  <c r="O32" i="2"/>
  <c r="N34" i="2"/>
  <c r="O34" i="2" s="1"/>
  <c r="K39" i="3"/>
  <c r="G39" i="1"/>
  <c r="H39" i="1"/>
  <c r="H47" i="1" l="1"/>
  <c r="J19" i="2"/>
  <c r="K17" i="2"/>
  <c r="I65" i="1"/>
  <c r="D48" i="1"/>
  <c r="K18" i="3"/>
  <c r="J24" i="3"/>
  <c r="N25" i="1"/>
  <c r="O16" i="1"/>
  <c r="N18" i="1"/>
  <c r="K16" i="2"/>
  <c r="H65" i="1"/>
  <c r="I47" i="1"/>
  <c r="G47" i="1"/>
  <c r="K33" i="3"/>
  <c r="N28" i="3"/>
  <c r="K25" i="1"/>
  <c r="J39" i="1"/>
  <c r="I19" i="2"/>
  <c r="M39" i="1"/>
  <c r="G65" i="1"/>
  <c r="M19" i="2"/>
  <c r="O18" i="3"/>
  <c r="N24" i="3"/>
  <c r="O24" i="3" s="1"/>
  <c r="J23" i="1"/>
  <c r="K18" i="1"/>
  <c r="M23" i="1"/>
  <c r="J65" i="1" l="1"/>
  <c r="K23" i="1"/>
  <c r="N39" i="1"/>
  <c r="O25" i="1"/>
  <c r="M47" i="1"/>
  <c r="I49" i="1"/>
  <c r="I48" i="1"/>
  <c r="K24" i="3"/>
  <c r="K19" i="2"/>
  <c r="O19" i="2"/>
  <c r="N23" i="1"/>
  <c r="O23" i="1" s="1"/>
  <c r="O18" i="1"/>
  <c r="G48" i="1"/>
  <c r="J47" i="1"/>
  <c r="K39" i="1"/>
  <c r="N33" i="3"/>
  <c r="O33" i="3" s="1"/>
  <c r="O28" i="3"/>
  <c r="H48" i="1"/>
  <c r="M48" i="1" l="1"/>
  <c r="O39" i="1"/>
  <c r="N47" i="1"/>
  <c r="K49" i="1"/>
  <c r="J48" i="1"/>
  <c r="K47" i="1"/>
  <c r="K65" i="1"/>
  <c r="K48" i="1" l="1"/>
  <c r="N48" i="1"/>
  <c r="O48" i="1" s="1"/>
  <c r="O47" i="1"/>
</calcChain>
</file>

<file path=xl/sharedStrings.xml><?xml version="1.0" encoding="utf-8"?>
<sst xmlns="http://schemas.openxmlformats.org/spreadsheetml/2006/main" count="497" uniqueCount="129">
  <si>
    <t xml:space="preserve">Consolidated </t>
  </si>
  <si>
    <t>FY</t>
  </si>
  <si>
    <t>Delta</t>
  </si>
  <si>
    <t>H1</t>
  </si>
  <si>
    <t>Financials</t>
  </si>
  <si>
    <t>20-21</t>
  </si>
  <si>
    <t>21-22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</si>
  <si>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</si>
  <si>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</si>
  <si>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</si>
  <si>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</si>
  <si>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</si>
  <si>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</si>
  <si>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</si>
  <si>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</si>
  <si>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</si>
  <si>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</si>
  <si>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</si>
  <si>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</si>
  <si>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</si>
  <si>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</si>
  <si>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</si>
  <si>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</si>
  <si>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</si>
  <si>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</si>
  <si>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</si>
  <si>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</si>
  <si>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</si>
  <si>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</si>
  <si>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</si>
  <si>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</si>
  <si>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</si>
  <si>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Weighted average loan financing cost (%) - 
adjusted with operational fx losses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</si>
  <si>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</si>
  <si>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</si>
  <si>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</si>
  <si>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</si>
  <si>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</si>
  <si>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</si>
  <si>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</si>
  <si>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</si>
  <si>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</si>
  <si>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</si>
  <si>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</si>
  <si>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</si>
  <si>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</si>
  <si>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</si>
  <si>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</si>
  <si>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</si>
  <si>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</si>
  <si>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</si>
  <si>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</si>
  <si>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</si>
  <si>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</si>
  <si>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</si>
  <si>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</si>
  <si>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</si>
  <si>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</si>
  <si>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</si>
  <si>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</si>
  <si>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</si>
  <si>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</si>
  <si>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</si>
  <si>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</si>
  <si>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</si>
  <si>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</si>
  <si>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</si>
  <si>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</si>
  <si>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</si>
  <si>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</si>
  <si>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</si>
  <si>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</si>
  <si>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</si>
  <si>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</si>
  <si>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</si>
  <si>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</si>
  <si>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</si>
  <si>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</si>
  <si>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</si>
  <si>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</si>
  <si>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</si>
  <si>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</si>
  <si>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</si>
  <si>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</si>
  <si>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</si>
  <si>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</si>
  <si>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</si>
  <si>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</si>
  <si>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</si>
  <si>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</si>
  <si>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</si>
  <si>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</si>
  <si>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</si>
  <si>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</si>
  <si>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Public 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</si>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</sst>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4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0" fontId="0" fillId="0" borderId="0" xfId="1" applyNumberFormat="1" applyFon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7" fontId="0" fillId="0" borderId="0" xfId="0" applyNumberFormat="1"/>
    <xf numFmtId="166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5" fontId="4" fillId="2" borderId="2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" xfId="0" applyFill="1" applyBorder="1" applyAlignment="1">
      <alignment horizontal="left" indent="1"/>
    </xf>
    <xf numFmtId="165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0" fontId="0" fillId="0" borderId="1" xfId="0" applyFill="1" applyBorder="1" applyAlignment="1">
      <alignment horizontal="left"/>
    </xf>
    <xf numFmtId="3" fontId="7" fillId="0" borderId="0" xfId="1" applyNumberFormat="1" applyFont="1" applyFill="1" applyAlignment="1"/>
    <xf numFmtId="0" fontId="5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4" fontId="0" fillId="0" borderId="0" xfId="0" applyNumberFormat="1"/>
    <xf numFmtId="10" fontId="0" fillId="0" borderId="2" xfId="1" applyNumberFormat="1" applyFont="1" applyFill="1" applyBorder="1" applyAlignment="1"/>
    <xf numFmtId="165" fontId="5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5" fillId="2" borderId="2" xfId="0" applyNumberFormat="1" applyFont="1" applyFill="1" applyBorder="1" applyAlignment="1"/>
    <xf numFmtId="165" fontId="0" fillId="0" borderId="2" xfId="1" applyNumberFormat="1" applyFont="1" applyFill="1" applyBorder="1" applyAlignment="1"/>
    <xf numFmtId="165" fontId="0" fillId="0" borderId="2" xfId="1" applyNumberFormat="1" applyFont="1" applyBorder="1" applyAlignment="1"/>
    <xf numFmtId="166" fontId="0" fillId="0" borderId="2" xfId="0" applyNumberFormat="1" applyFill="1" applyBorder="1" applyAlignment="1"/>
    <xf numFmtId="3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0" xfId="0" applyNumberFormat="1" applyAlignment="1"/>
    <xf numFmtId="3" fontId="0" fillId="0" borderId="0" xfId="0" applyNumberFormat="1" applyAlignment="1"/>
    <xf numFmtId="3" fontId="7" fillId="0" borderId="0" xfId="0" applyNumberFormat="1" applyFont="1" applyFill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74"/>
  <sheetViews>
    <sheetView showGridLines="0" tabSelected="1" zoomScaleNormal="100" workbookViewId="0">
      <pane xSplit="2" ySplit="3" topLeftCell="C4" activePane="bottomRight" state="frozen"/>
      <selection activeCell="B71" sqref="B71"/>
      <selection pane="topRight" activeCell="B71" sqref="B71"/>
      <selection pane="bottomLeft" activeCell="B71" sqref="B71"/>
      <selection pane="bottomRight"/>
    </sheetView>
  </sheetViews>
  <sheetFormatPr defaultColWidth="8.85546875" defaultRowHeight="15" x14ac:dyDescent="0.25"/>
  <cols>
    <col min="1" max="1" width="8.42578125" customWidth="1"/>
    <col min="2" max="2" width="53.5703125" bestFit="1" customWidth="1"/>
    <col min="3" max="5" width="10.5703125" customWidth="1"/>
    <col min="6" max="6" width="13" customWidth="1"/>
    <col min="7" max="7" width="11.42578125" customWidth="1"/>
    <col min="8" max="8" width="13" customWidth="1"/>
    <col min="9" max="10" width="13" bestFit="1" customWidth="1"/>
    <col min="11" max="11" width="11.42578125" bestFit="1" customWidth="1"/>
    <col min="12" max="12" width="2.85546875" style="3" customWidth="1"/>
    <col min="13" max="15" width="13" customWidth="1"/>
  </cols>
  <sheetData>
    <row r="1" spans="2:16" x14ac:dyDescent="0.25">
      <c r="C1" s="1"/>
      <c r="D1" s="1"/>
      <c r="E1" s="1"/>
      <c r="F1" s="2"/>
      <c r="G1" s="2"/>
      <c r="H1" s="2"/>
      <c r="K1" s="2"/>
      <c r="O1" s="2"/>
    </row>
    <row r="2" spans="2:16" x14ac:dyDescent="0.25">
      <c r="B2" s="5" t="s">
        <v>0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2</v>
      </c>
      <c r="L2" s="7"/>
      <c r="M2" s="6" t="s">
        <v>3</v>
      </c>
      <c r="N2" s="6" t="s">
        <v>3</v>
      </c>
      <c r="O2" s="6" t="s">
        <v>2</v>
      </c>
    </row>
    <row r="3" spans="2:16" ht="15.75" thickBot="1" x14ac:dyDescent="0.3">
      <c r="B3" s="8" t="s">
        <v>4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10" t="s">
        <v>5</v>
      </c>
      <c r="L3" s="7"/>
      <c r="M3" s="9">
        <v>2021</v>
      </c>
      <c r="N3" s="9">
        <v>2022</v>
      </c>
      <c r="O3" s="10" t="s">
        <v>6</v>
      </c>
    </row>
    <row r="4" spans="2:16" x14ac:dyDescent="0.25">
      <c r="B4" s="11" t="s">
        <v>7</v>
      </c>
      <c r="C4" s="12">
        <v>8064.4210000000003</v>
      </c>
      <c r="D4" s="12">
        <v>9153.6139999999996</v>
      </c>
      <c r="E4" s="12">
        <v>9103.3799999999992</v>
      </c>
      <c r="F4" s="12">
        <v>12345</v>
      </c>
      <c r="G4" s="12">
        <v>18347</v>
      </c>
      <c r="H4" s="12">
        <v>19453</v>
      </c>
      <c r="I4" s="12">
        <v>21757</v>
      </c>
      <c r="J4" s="12">
        <v>30548</v>
      </c>
      <c r="K4" s="12">
        <f>J4-I4</f>
        <v>8791</v>
      </c>
      <c r="M4" s="12">
        <v>11965</v>
      </c>
      <c r="N4" s="12">
        <v>36117</v>
      </c>
      <c r="O4" s="12">
        <f>N4-M4</f>
        <v>24152</v>
      </c>
      <c r="P4" s="13"/>
    </row>
    <row r="5" spans="2:16" x14ac:dyDescent="0.25">
      <c r="B5" s="11" t="s">
        <v>8</v>
      </c>
      <c r="C5" s="12">
        <v>-6753.5110000000004</v>
      </c>
      <c r="D5" s="12">
        <v>-7108.12</v>
      </c>
      <c r="E5" s="12">
        <v>-6500.9560000000001</v>
      </c>
      <c r="F5" s="12">
        <v>-8412</v>
      </c>
      <c r="G5" s="12">
        <v>-12380</v>
      </c>
      <c r="H5" s="12">
        <v>-14109</v>
      </c>
      <c r="I5" s="12">
        <v>-16118</v>
      </c>
      <c r="J5" s="12">
        <v>-22266</v>
      </c>
      <c r="K5" s="12">
        <f t="shared" ref="K5:K65" si="0">J5-I5</f>
        <v>-6148</v>
      </c>
      <c r="M5" s="12">
        <v>-8510</v>
      </c>
      <c r="N5" s="12">
        <v>-29659</v>
      </c>
      <c r="O5" s="12">
        <f t="shared" ref="O5:O10" si="1">N5-M5</f>
        <v>-21149</v>
      </c>
      <c r="P5" s="13"/>
    </row>
    <row r="6" spans="2:16" x14ac:dyDescent="0.25">
      <c r="B6" s="14" t="s">
        <v>9</v>
      </c>
      <c r="C6" s="15">
        <f t="shared" ref="C6:E6" si="2">SUM(C4:C5)</f>
        <v>1310.9099999999999</v>
      </c>
      <c r="D6" s="15">
        <f t="shared" si="2"/>
        <v>2045.4939999999997</v>
      </c>
      <c r="E6" s="15">
        <f t="shared" si="2"/>
        <v>2602.4239999999991</v>
      </c>
      <c r="F6" s="15">
        <v>3932</v>
      </c>
      <c r="G6" s="15">
        <f>SUM(G4:G5)</f>
        <v>5967</v>
      </c>
      <c r="H6" s="15">
        <f>SUM(H4:H5)</f>
        <v>5344</v>
      </c>
      <c r="I6" s="15">
        <f>SUM(I4:I5)</f>
        <v>5639</v>
      </c>
      <c r="J6" s="15">
        <f>SUM(J4:J5)</f>
        <v>8282</v>
      </c>
      <c r="K6" s="15">
        <f t="shared" si="0"/>
        <v>2643</v>
      </c>
      <c r="L6" s="16"/>
      <c r="M6" s="15">
        <f>SUM(M4:M5)</f>
        <v>3455</v>
      </c>
      <c r="N6" s="15">
        <f>SUM(N4:N5)</f>
        <v>6458</v>
      </c>
      <c r="O6" s="15">
        <f t="shared" si="1"/>
        <v>3003</v>
      </c>
      <c r="P6" s="13"/>
    </row>
    <row r="7" spans="2:16" x14ac:dyDescent="0.25">
      <c r="B7" s="11" t="s">
        <v>10</v>
      </c>
      <c r="C7" s="12">
        <v>-967.3</v>
      </c>
      <c r="D7" s="12">
        <v>-1079.79</v>
      </c>
      <c r="E7" s="12">
        <v>-1228</v>
      </c>
      <c r="F7" s="12">
        <v>-1519</v>
      </c>
      <c r="G7" s="12">
        <v>-1849</v>
      </c>
      <c r="H7" s="12">
        <v>-2170</v>
      </c>
      <c r="I7" s="12">
        <v>-2543</v>
      </c>
      <c r="J7" s="12">
        <v>-3383</v>
      </c>
      <c r="K7" s="12">
        <f t="shared" si="0"/>
        <v>-840</v>
      </c>
      <c r="M7" s="12">
        <v>-1399</v>
      </c>
      <c r="N7" s="12">
        <v>-2954</v>
      </c>
      <c r="O7" s="12">
        <f t="shared" si="1"/>
        <v>-1555</v>
      </c>
      <c r="P7" s="13"/>
    </row>
    <row r="8" spans="2:16" x14ac:dyDescent="0.25">
      <c r="B8" s="11" t="s">
        <v>11</v>
      </c>
      <c r="C8" s="12">
        <v>-36</v>
      </c>
      <c r="D8" s="12">
        <v>72.599999999999994</v>
      </c>
      <c r="E8" s="12">
        <v>-102</v>
      </c>
      <c r="F8" s="12">
        <v>-173</v>
      </c>
      <c r="G8" s="12">
        <v>-1307</v>
      </c>
      <c r="H8" s="12">
        <v>-110</v>
      </c>
      <c r="I8" s="12">
        <v>-358</v>
      </c>
      <c r="J8" s="12">
        <v>-385</v>
      </c>
      <c r="K8" s="12">
        <f t="shared" si="0"/>
        <v>-27</v>
      </c>
      <c r="M8" s="12">
        <v>-145</v>
      </c>
      <c r="N8" s="12">
        <v>-381</v>
      </c>
      <c r="O8" s="12">
        <f t="shared" si="1"/>
        <v>-236</v>
      </c>
      <c r="P8" s="13"/>
    </row>
    <row r="9" spans="2:16" x14ac:dyDescent="0.25">
      <c r="B9" s="14" t="s">
        <v>12</v>
      </c>
      <c r="C9" s="15">
        <f>SUM(C6:C8)</f>
        <v>307.6099999999999</v>
      </c>
      <c r="D9" s="15">
        <f t="shared" ref="D9:E9" si="3">SUM(D6:D8)</f>
        <v>1038.3039999999996</v>
      </c>
      <c r="E9" s="15">
        <f t="shared" si="3"/>
        <v>1272.4239999999991</v>
      </c>
      <c r="F9" s="15">
        <v>2241</v>
      </c>
      <c r="G9" s="15">
        <f>SUM(G6:G8)</f>
        <v>2811</v>
      </c>
      <c r="H9" s="15">
        <f>SUM(H6:H8)</f>
        <v>3064</v>
      </c>
      <c r="I9" s="15">
        <f>SUM(I6:I8)</f>
        <v>2738</v>
      </c>
      <c r="J9" s="15">
        <f>SUM(J6:J8)</f>
        <v>4514</v>
      </c>
      <c r="K9" s="15">
        <f t="shared" si="0"/>
        <v>1776</v>
      </c>
      <c r="L9" s="16"/>
      <c r="M9" s="15">
        <f>SUM(M6:M8)</f>
        <v>1911</v>
      </c>
      <c r="N9" s="15">
        <f>SUM(N6:N8)</f>
        <v>3123</v>
      </c>
      <c r="O9" s="15">
        <f t="shared" si="1"/>
        <v>1212</v>
      </c>
      <c r="P9" s="13"/>
    </row>
    <row r="10" spans="2:16" x14ac:dyDescent="0.25">
      <c r="B10" s="11" t="s">
        <v>13</v>
      </c>
      <c r="C10" s="12">
        <v>208.66300000000001</v>
      </c>
      <c r="D10" s="12">
        <v>219.4</v>
      </c>
      <c r="E10" s="12">
        <v>218</v>
      </c>
      <c r="F10" s="12">
        <v>235</v>
      </c>
      <c r="G10" s="12">
        <v>258</v>
      </c>
      <c r="H10" s="12">
        <v>373</v>
      </c>
      <c r="I10" s="12">
        <v>444</v>
      </c>
      <c r="J10" s="12">
        <v>473</v>
      </c>
      <c r="K10" s="12">
        <f t="shared" si="0"/>
        <v>29</v>
      </c>
      <c r="M10" s="12">
        <v>219</v>
      </c>
      <c r="N10" s="12">
        <v>263</v>
      </c>
      <c r="O10" s="12">
        <f t="shared" si="1"/>
        <v>44</v>
      </c>
      <c r="P10" s="13"/>
    </row>
    <row r="11" spans="2:16" x14ac:dyDescent="0.25">
      <c r="B11" s="11" t="s">
        <v>14</v>
      </c>
      <c r="C11" s="17" t="s">
        <v>15</v>
      </c>
      <c r="D11" s="17" t="s">
        <v>15</v>
      </c>
      <c r="E11" s="17" t="s">
        <v>15</v>
      </c>
      <c r="F11" s="17" t="s">
        <v>15</v>
      </c>
      <c r="G11" s="12">
        <v>753</v>
      </c>
      <c r="H11" s="12" t="s">
        <v>15</v>
      </c>
      <c r="I11" s="12" t="s">
        <v>15</v>
      </c>
      <c r="J11" s="12" t="s">
        <v>15</v>
      </c>
      <c r="K11" s="12" t="s">
        <v>15</v>
      </c>
      <c r="M11" s="12" t="s">
        <v>15</v>
      </c>
      <c r="N11" s="12" t="s">
        <v>15</v>
      </c>
      <c r="O11" s="12" t="s">
        <v>15</v>
      </c>
      <c r="P11" s="13"/>
    </row>
    <row r="12" spans="2:16" x14ac:dyDescent="0.25">
      <c r="B12" s="11" t="s">
        <v>16</v>
      </c>
      <c r="C12" s="12">
        <v>16</v>
      </c>
      <c r="D12" s="12">
        <v>-60</v>
      </c>
      <c r="E12" s="12">
        <v>-16</v>
      </c>
      <c r="F12" s="17" t="s">
        <v>15</v>
      </c>
      <c r="G12" s="17" t="s">
        <v>15</v>
      </c>
      <c r="H12" s="17" t="s">
        <v>15</v>
      </c>
      <c r="I12" s="12" t="s">
        <v>15</v>
      </c>
      <c r="J12" s="12" t="s">
        <v>15</v>
      </c>
      <c r="K12" s="12" t="s">
        <v>15</v>
      </c>
      <c r="M12" s="12" t="s">
        <v>15</v>
      </c>
      <c r="N12" s="12" t="s">
        <v>15</v>
      </c>
      <c r="O12" s="12" t="s">
        <v>15</v>
      </c>
      <c r="P12" s="13"/>
    </row>
    <row r="13" spans="2:16" x14ac:dyDescent="0.25">
      <c r="B13" s="11" t="s">
        <v>17</v>
      </c>
      <c r="C13" s="17" t="s">
        <v>15</v>
      </c>
      <c r="D13" s="17" t="s">
        <v>15</v>
      </c>
      <c r="E13" s="17" t="s">
        <v>15</v>
      </c>
      <c r="F13" s="17" t="s">
        <v>15</v>
      </c>
      <c r="G13" s="17">
        <v>44</v>
      </c>
      <c r="H13" s="17">
        <v>4</v>
      </c>
      <c r="I13" s="12">
        <v>28</v>
      </c>
      <c r="J13" s="12">
        <v>262</v>
      </c>
      <c r="K13" s="12">
        <f t="shared" si="0"/>
        <v>234</v>
      </c>
      <c r="M13" s="12">
        <v>40</v>
      </c>
      <c r="N13" s="12">
        <v>162</v>
      </c>
      <c r="O13" s="12">
        <f t="shared" ref="O13:O18" si="4">N13-M13</f>
        <v>122</v>
      </c>
      <c r="P13" s="13"/>
    </row>
    <row r="14" spans="2:16" x14ac:dyDescent="0.25">
      <c r="B14" s="11" t="s">
        <v>18</v>
      </c>
      <c r="C14" s="12">
        <v>43</v>
      </c>
      <c r="D14" s="12">
        <v>36</v>
      </c>
      <c r="E14" s="12">
        <v>40</v>
      </c>
      <c r="F14" s="12">
        <v>79</v>
      </c>
      <c r="G14" s="17">
        <v>243</v>
      </c>
      <c r="H14" s="17">
        <v>114</v>
      </c>
      <c r="I14" s="12">
        <v>162</v>
      </c>
      <c r="J14" s="12">
        <v>306</v>
      </c>
      <c r="K14" s="12">
        <f t="shared" si="0"/>
        <v>144</v>
      </c>
      <c r="M14" s="12">
        <v>142</v>
      </c>
      <c r="N14" s="12">
        <v>1074</v>
      </c>
      <c r="O14" s="12">
        <f t="shared" si="4"/>
        <v>932</v>
      </c>
      <c r="P14" s="13"/>
    </row>
    <row r="15" spans="2:16" x14ac:dyDescent="0.25">
      <c r="B15" s="11" t="s">
        <v>19</v>
      </c>
      <c r="C15" s="12">
        <v>-5</v>
      </c>
      <c r="D15" s="12">
        <v>-2</v>
      </c>
      <c r="E15" s="12">
        <v>-19</v>
      </c>
      <c r="F15" s="12">
        <v>0</v>
      </c>
      <c r="G15" s="17">
        <v>-44</v>
      </c>
      <c r="H15" s="17">
        <v>-186</v>
      </c>
      <c r="I15" s="12">
        <v>-30</v>
      </c>
      <c r="J15" s="12">
        <v>-56</v>
      </c>
      <c r="K15" s="12">
        <f t="shared" si="0"/>
        <v>-26</v>
      </c>
      <c r="M15" s="12">
        <v>-25</v>
      </c>
      <c r="N15" s="12">
        <v>34</v>
      </c>
      <c r="O15" s="12">
        <f t="shared" si="4"/>
        <v>59</v>
      </c>
      <c r="P15" s="13"/>
    </row>
    <row r="16" spans="2:16" x14ac:dyDescent="0.25">
      <c r="B16" s="14" t="s">
        <v>20</v>
      </c>
      <c r="C16" s="15">
        <v>569</v>
      </c>
      <c r="D16" s="15">
        <f>SUM(D9:D15)</f>
        <v>1231.7039999999997</v>
      </c>
      <c r="E16" s="15">
        <f>SUM(E9:E15)</f>
        <v>1495.4239999999991</v>
      </c>
      <c r="F16" s="15">
        <f t="shared" ref="F16:J16" si="5">SUM(F9:F15)</f>
        <v>2555</v>
      </c>
      <c r="G16" s="15">
        <f t="shared" si="5"/>
        <v>4065</v>
      </c>
      <c r="H16" s="15">
        <f t="shared" si="5"/>
        <v>3369</v>
      </c>
      <c r="I16" s="15">
        <f t="shared" si="5"/>
        <v>3342</v>
      </c>
      <c r="J16" s="15">
        <f t="shared" si="5"/>
        <v>5499</v>
      </c>
      <c r="K16" s="15">
        <f t="shared" si="0"/>
        <v>2157</v>
      </c>
      <c r="L16" s="16"/>
      <c r="M16" s="15">
        <f t="shared" ref="M16:N16" si="6">SUM(M9:M15)</f>
        <v>2287</v>
      </c>
      <c r="N16" s="15">
        <f t="shared" si="6"/>
        <v>4656</v>
      </c>
      <c r="O16" s="15">
        <f t="shared" si="4"/>
        <v>2369</v>
      </c>
      <c r="P16" s="13"/>
    </row>
    <row r="17" spans="2:16" x14ac:dyDescent="0.25">
      <c r="B17" s="18" t="s">
        <v>21</v>
      </c>
      <c r="C17" s="19">
        <v>210</v>
      </c>
      <c r="D17" s="19">
        <v>200</v>
      </c>
      <c r="E17" s="19">
        <v>443</v>
      </c>
      <c r="F17" s="19">
        <v>592</v>
      </c>
      <c r="G17" s="12">
        <v>798</v>
      </c>
      <c r="H17" s="12">
        <v>1058</v>
      </c>
      <c r="I17" s="12">
        <v>1342</v>
      </c>
      <c r="J17" s="12">
        <v>2101</v>
      </c>
      <c r="K17" s="19">
        <f t="shared" si="0"/>
        <v>759</v>
      </c>
      <c r="M17" s="12">
        <v>1051</v>
      </c>
      <c r="N17" s="12">
        <v>2059</v>
      </c>
      <c r="O17" s="19">
        <f t="shared" si="4"/>
        <v>1008</v>
      </c>
      <c r="P17" s="13"/>
    </row>
    <row r="18" spans="2:16" x14ac:dyDescent="0.25">
      <c r="B18" s="14" t="s">
        <v>22</v>
      </c>
      <c r="C18" s="15">
        <f>SUM(C16:C17)</f>
        <v>779</v>
      </c>
      <c r="D18" s="15">
        <f t="shared" ref="D18:F18" si="7">SUM(D16:D17)</f>
        <v>1431.7039999999997</v>
      </c>
      <c r="E18" s="15">
        <f t="shared" si="7"/>
        <v>1938.4239999999991</v>
      </c>
      <c r="F18" s="15">
        <f t="shared" si="7"/>
        <v>3147</v>
      </c>
      <c r="G18" s="15">
        <f>SUM(G16:G17)+1</f>
        <v>4864</v>
      </c>
      <c r="H18" s="15">
        <f>SUM(H16:H17)</f>
        <v>4427</v>
      </c>
      <c r="I18" s="15">
        <f>SUM(I16:I17)</f>
        <v>4684</v>
      </c>
      <c r="J18" s="15">
        <f>SUM(J16:J17)</f>
        <v>7600</v>
      </c>
      <c r="K18" s="15">
        <f t="shared" si="0"/>
        <v>2916</v>
      </c>
      <c r="L18" s="16"/>
      <c r="M18" s="15">
        <f>SUM(M16:M17)</f>
        <v>3338</v>
      </c>
      <c r="N18" s="15">
        <f>SUM(N16:N17)</f>
        <v>6715</v>
      </c>
      <c r="O18" s="15">
        <f t="shared" si="4"/>
        <v>3377</v>
      </c>
      <c r="P18" s="13"/>
    </row>
    <row r="19" spans="2:16" x14ac:dyDescent="0.25">
      <c r="B19" s="18" t="s">
        <v>23</v>
      </c>
      <c r="C19" s="17" t="s">
        <v>15</v>
      </c>
      <c r="D19" s="19">
        <v>-332</v>
      </c>
      <c r="E19" s="17" t="s">
        <v>15</v>
      </c>
      <c r="F19" s="19">
        <v>-467</v>
      </c>
      <c r="G19" s="12">
        <v>-984</v>
      </c>
      <c r="H19" s="12">
        <v>230</v>
      </c>
      <c r="I19" s="12">
        <v>395</v>
      </c>
      <c r="J19" s="12" t="s">
        <v>15</v>
      </c>
      <c r="K19" s="19">
        <f>-I19</f>
        <v>-395</v>
      </c>
      <c r="M19" s="12" t="s">
        <v>15</v>
      </c>
      <c r="N19" s="12" t="s">
        <v>15</v>
      </c>
      <c r="O19" s="19" t="s">
        <v>15</v>
      </c>
      <c r="P19" s="13"/>
    </row>
    <row r="20" spans="2:16" x14ac:dyDescent="0.25">
      <c r="B20" s="18" t="s">
        <v>24</v>
      </c>
      <c r="C20" s="17" t="s">
        <v>15</v>
      </c>
      <c r="D20" s="17" t="s">
        <v>15</v>
      </c>
      <c r="E20" s="17" t="s">
        <v>15</v>
      </c>
      <c r="F20" s="17" t="s">
        <v>15</v>
      </c>
      <c r="G20" s="12">
        <v>107</v>
      </c>
      <c r="H20" s="17" t="s">
        <v>15</v>
      </c>
      <c r="I20" s="12" t="s">
        <v>15</v>
      </c>
      <c r="J20" s="12" t="s">
        <v>15</v>
      </c>
      <c r="K20" s="12" t="s">
        <v>15</v>
      </c>
      <c r="M20" s="12" t="s">
        <v>15</v>
      </c>
      <c r="N20" s="12" t="s">
        <v>15</v>
      </c>
      <c r="O20" s="12" t="s">
        <v>15</v>
      </c>
      <c r="P20" s="13"/>
    </row>
    <row r="21" spans="2:16" x14ac:dyDescent="0.25">
      <c r="B21" s="18" t="s">
        <v>25</v>
      </c>
      <c r="C21" s="17" t="s">
        <v>15</v>
      </c>
      <c r="D21" s="17" t="s">
        <v>15</v>
      </c>
      <c r="E21" s="17" t="s">
        <v>15</v>
      </c>
      <c r="F21" s="19">
        <v>-115</v>
      </c>
      <c r="G21" s="12">
        <v>-142</v>
      </c>
      <c r="H21" s="12">
        <v>-48</v>
      </c>
      <c r="I21" s="12">
        <v>469</v>
      </c>
      <c r="J21" s="12">
        <v>-12</v>
      </c>
      <c r="K21" s="19">
        <f>J21-I21</f>
        <v>-481</v>
      </c>
      <c r="M21" s="12">
        <v>-12</v>
      </c>
      <c r="N21" s="12" t="s">
        <v>15</v>
      </c>
      <c r="O21" s="19">
        <f>-M21</f>
        <v>12</v>
      </c>
      <c r="P21" s="13"/>
    </row>
    <row r="22" spans="2:16" x14ac:dyDescent="0.25">
      <c r="B22" s="18" t="s">
        <v>26</v>
      </c>
      <c r="C22" s="17" t="s">
        <v>15</v>
      </c>
      <c r="D22" s="17" t="s">
        <v>15</v>
      </c>
      <c r="E22" s="17" t="s">
        <v>15</v>
      </c>
      <c r="F22" s="17" t="s">
        <v>15</v>
      </c>
      <c r="G22" s="17" t="s">
        <v>15</v>
      </c>
      <c r="H22" s="17" t="s">
        <v>15</v>
      </c>
      <c r="I22" s="12">
        <v>60.7</v>
      </c>
      <c r="J22" s="12">
        <v>-94</v>
      </c>
      <c r="K22" s="19">
        <f t="shared" si="0"/>
        <v>-154.69999999999999</v>
      </c>
      <c r="M22" s="12" t="s">
        <v>15</v>
      </c>
      <c r="N22" s="12">
        <v>-51</v>
      </c>
      <c r="O22" s="19">
        <f>N22</f>
        <v>-51</v>
      </c>
      <c r="P22" s="13"/>
    </row>
    <row r="23" spans="2:16" x14ac:dyDescent="0.25">
      <c r="B23" s="14" t="s">
        <v>27</v>
      </c>
      <c r="C23" s="15">
        <f t="shared" ref="C23:J23" si="8">SUM(C18:C22)</f>
        <v>779</v>
      </c>
      <c r="D23" s="15">
        <f t="shared" si="8"/>
        <v>1099.7039999999997</v>
      </c>
      <c r="E23" s="15">
        <f t="shared" si="8"/>
        <v>1938.4239999999991</v>
      </c>
      <c r="F23" s="15">
        <f t="shared" si="8"/>
        <v>2565</v>
      </c>
      <c r="G23" s="15">
        <f t="shared" si="8"/>
        <v>3845</v>
      </c>
      <c r="H23" s="15">
        <f t="shared" si="8"/>
        <v>4609</v>
      </c>
      <c r="I23" s="15">
        <f t="shared" si="8"/>
        <v>5608.7</v>
      </c>
      <c r="J23" s="15">
        <f t="shared" si="8"/>
        <v>7494</v>
      </c>
      <c r="K23" s="15">
        <f t="shared" si="0"/>
        <v>1885.3000000000002</v>
      </c>
      <c r="L23" s="16"/>
      <c r="M23" s="15">
        <f t="shared" ref="M23:N23" si="9">SUM(M18:M22)</f>
        <v>3326</v>
      </c>
      <c r="N23" s="15">
        <f t="shared" si="9"/>
        <v>6664</v>
      </c>
      <c r="O23" s="15">
        <f t="shared" ref="O23" si="10">N23-M23</f>
        <v>3338</v>
      </c>
      <c r="P23" s="20"/>
    </row>
    <row r="24" spans="2:16" x14ac:dyDescent="0.25">
      <c r="B24" s="5"/>
      <c r="C24" s="21"/>
      <c r="D24" s="21"/>
      <c r="E24" s="21"/>
      <c r="F24" s="21"/>
      <c r="G24" s="21"/>
      <c r="H24" s="21"/>
      <c r="I24" s="21"/>
      <c r="J24" s="21"/>
      <c r="K24" s="21"/>
      <c r="M24" s="21"/>
      <c r="N24" s="21"/>
      <c r="O24" s="21"/>
      <c r="P24" s="13"/>
    </row>
    <row r="25" spans="2:16" x14ac:dyDescent="0.25">
      <c r="B25" s="14" t="s">
        <v>20</v>
      </c>
      <c r="C25" s="15">
        <f t="shared" ref="C25:J25" si="11">C16</f>
        <v>569</v>
      </c>
      <c r="D25" s="15">
        <f t="shared" si="11"/>
        <v>1231.7039999999997</v>
      </c>
      <c r="E25" s="15">
        <f t="shared" si="11"/>
        <v>1495.4239999999991</v>
      </c>
      <c r="F25" s="15">
        <f t="shared" si="11"/>
        <v>2555</v>
      </c>
      <c r="G25" s="15">
        <f t="shared" si="11"/>
        <v>4065</v>
      </c>
      <c r="H25" s="15">
        <f t="shared" si="11"/>
        <v>3369</v>
      </c>
      <c r="I25" s="15">
        <f t="shared" si="11"/>
        <v>3342</v>
      </c>
      <c r="J25" s="15">
        <f t="shared" si="11"/>
        <v>5499</v>
      </c>
      <c r="K25" s="15">
        <f t="shared" si="0"/>
        <v>2157</v>
      </c>
      <c r="L25" s="16"/>
      <c r="M25" s="15">
        <f t="shared" ref="M25:N25" si="12">M16</f>
        <v>2287</v>
      </c>
      <c r="N25" s="15">
        <f t="shared" si="12"/>
        <v>4656</v>
      </c>
      <c r="O25" s="15">
        <f t="shared" ref="O25:O26" si="13">N25-M25</f>
        <v>2369</v>
      </c>
      <c r="P25" s="13"/>
    </row>
    <row r="26" spans="2:16" x14ac:dyDescent="0.25">
      <c r="B26" s="11" t="s">
        <v>28</v>
      </c>
      <c r="C26" s="12">
        <f t="shared" ref="C26:H26" si="14">-C10</f>
        <v>-208.66300000000001</v>
      </c>
      <c r="D26" s="12">
        <f t="shared" si="14"/>
        <v>-219.4</v>
      </c>
      <c r="E26" s="12">
        <f t="shared" si="14"/>
        <v>-218</v>
      </c>
      <c r="F26" s="12">
        <f t="shared" si="14"/>
        <v>-235</v>
      </c>
      <c r="G26" s="12">
        <f t="shared" si="14"/>
        <v>-258</v>
      </c>
      <c r="H26" s="12">
        <f t="shared" si="14"/>
        <v>-373</v>
      </c>
      <c r="I26" s="12">
        <v>-444</v>
      </c>
      <c r="J26" s="12">
        <v>-473</v>
      </c>
      <c r="K26" s="12">
        <f t="shared" si="0"/>
        <v>-29</v>
      </c>
      <c r="M26" s="12">
        <v>-219</v>
      </c>
      <c r="N26" s="12">
        <f>-N10</f>
        <v>-263</v>
      </c>
      <c r="O26" s="12">
        <f t="shared" si="13"/>
        <v>-44</v>
      </c>
      <c r="P26" s="13"/>
    </row>
    <row r="27" spans="2:16" x14ac:dyDescent="0.25">
      <c r="B27" s="11" t="s">
        <v>14</v>
      </c>
      <c r="C27" s="17" t="s">
        <v>15</v>
      </c>
      <c r="D27" s="17" t="s">
        <v>15</v>
      </c>
      <c r="E27" s="17" t="s">
        <v>15</v>
      </c>
      <c r="F27" s="17" t="s">
        <v>15</v>
      </c>
      <c r="G27" s="12">
        <f>-G11</f>
        <v>-753</v>
      </c>
      <c r="H27" s="17" t="s">
        <v>15</v>
      </c>
      <c r="I27" s="17" t="s">
        <v>15</v>
      </c>
      <c r="J27" s="12" t="s">
        <v>15</v>
      </c>
      <c r="K27" s="17" t="s">
        <v>15</v>
      </c>
      <c r="M27" s="17" t="s">
        <v>15</v>
      </c>
      <c r="N27" s="12" t="s">
        <v>15</v>
      </c>
      <c r="O27" s="17" t="s">
        <v>15</v>
      </c>
      <c r="P27" s="13"/>
    </row>
    <row r="28" spans="2:16" x14ac:dyDescent="0.25">
      <c r="B28" s="11" t="s">
        <v>16</v>
      </c>
      <c r="C28" s="12">
        <f>-C12</f>
        <v>-16</v>
      </c>
      <c r="D28" s="12">
        <f>-D12</f>
        <v>60</v>
      </c>
      <c r="E28" s="12">
        <f>-E12</f>
        <v>16</v>
      </c>
      <c r="F28" s="17" t="s">
        <v>15</v>
      </c>
      <c r="G28" s="17" t="s">
        <v>15</v>
      </c>
      <c r="H28" s="17" t="s">
        <v>15</v>
      </c>
      <c r="I28" s="17" t="s">
        <v>15</v>
      </c>
      <c r="J28" s="12" t="s">
        <v>15</v>
      </c>
      <c r="K28" s="17" t="s">
        <v>15</v>
      </c>
      <c r="M28" s="17" t="s">
        <v>15</v>
      </c>
      <c r="N28" s="17" t="s">
        <v>15</v>
      </c>
      <c r="O28" s="17" t="s">
        <v>15</v>
      </c>
      <c r="P28" s="13"/>
    </row>
    <row r="29" spans="2:16" x14ac:dyDescent="0.25">
      <c r="B29" s="11" t="s">
        <v>29</v>
      </c>
      <c r="C29" s="12">
        <f t="shared" ref="C29:G29" si="15">C30+C33+C35+C37</f>
        <v>-608.46</v>
      </c>
      <c r="D29" s="12">
        <f t="shared" si="15"/>
        <v>-609.69000000000005</v>
      </c>
      <c r="E29" s="12">
        <f t="shared" si="15"/>
        <v>-779.56</v>
      </c>
      <c r="F29" s="12">
        <f t="shared" si="15"/>
        <v>-1036</v>
      </c>
      <c r="G29" s="12">
        <f t="shared" si="15"/>
        <v>-1732</v>
      </c>
      <c r="H29" s="12">
        <f>H30+H33+H35+H37+H36</f>
        <v>-1604</v>
      </c>
      <c r="I29" s="12">
        <f>I30+I33+I35+I37+I36</f>
        <v>-1485</v>
      </c>
      <c r="J29" s="12">
        <f>J30+J33+J35+J37+J36</f>
        <v>-1883</v>
      </c>
      <c r="K29" s="12">
        <f t="shared" si="0"/>
        <v>-398</v>
      </c>
      <c r="M29" s="12">
        <f>M30+M33+M35+M37+M36</f>
        <v>-781</v>
      </c>
      <c r="N29" s="12">
        <f>N30+N33+N35+N37+N36</f>
        <v>-2729</v>
      </c>
      <c r="O29" s="12">
        <f t="shared" ref="O29:O39" si="16">N29-M29</f>
        <v>-1948</v>
      </c>
      <c r="P29" s="13"/>
    </row>
    <row r="30" spans="2:16" x14ac:dyDescent="0.25">
      <c r="B30" s="22" t="s">
        <v>30</v>
      </c>
      <c r="C30" s="12">
        <v>-517.46</v>
      </c>
      <c r="D30" s="12">
        <v>-526.69000000000005</v>
      </c>
      <c r="E30" s="12">
        <v>-725.56</v>
      </c>
      <c r="F30" s="12">
        <v>-863</v>
      </c>
      <c r="G30" s="12">
        <v>-1159</v>
      </c>
      <c r="H30" s="12">
        <v>-1375</v>
      </c>
      <c r="I30" s="12">
        <v>-974</v>
      </c>
      <c r="J30" s="12">
        <v>-1219</v>
      </c>
      <c r="K30" s="12">
        <f t="shared" si="0"/>
        <v>-245</v>
      </c>
      <c r="M30" s="12">
        <v>-469</v>
      </c>
      <c r="N30" s="12">
        <v>-1325</v>
      </c>
      <c r="O30" s="12">
        <f t="shared" si="16"/>
        <v>-856</v>
      </c>
      <c r="P30" s="13"/>
    </row>
    <row r="31" spans="2:16" x14ac:dyDescent="0.25">
      <c r="B31" s="22" t="s">
        <v>31</v>
      </c>
      <c r="C31" s="12"/>
      <c r="D31" s="23">
        <v>9.7315847766867136E-2</v>
      </c>
      <c r="E31" s="23">
        <v>0.12236587152326026</v>
      </c>
      <c r="F31" s="23">
        <v>0.128</v>
      </c>
      <c r="G31" s="23">
        <v>0.17078241062162658</v>
      </c>
      <c r="H31" s="23">
        <v>0.18125985532402955</v>
      </c>
      <c r="I31" s="23">
        <v>0.11871214887008945</v>
      </c>
      <c r="J31" s="23">
        <v>0.1596249825235474</v>
      </c>
      <c r="K31" s="23">
        <f t="shared" si="0"/>
        <v>4.091283365345795E-2</v>
      </c>
      <c r="M31" s="23">
        <v>0.12226306460613023</v>
      </c>
      <c r="N31" s="23">
        <v>0.2514962290399656</v>
      </c>
      <c r="O31" s="23">
        <f t="shared" si="16"/>
        <v>0.12923316443383537</v>
      </c>
      <c r="P31" s="13"/>
    </row>
    <row r="32" spans="2:16" ht="30" x14ac:dyDescent="0.25">
      <c r="B32" s="24" t="s">
        <v>32</v>
      </c>
      <c r="C32" s="12"/>
      <c r="D32" s="17" t="s">
        <v>15</v>
      </c>
      <c r="E32" s="17" t="s">
        <v>15</v>
      </c>
      <c r="F32" s="17" t="s">
        <v>15</v>
      </c>
      <c r="G32" s="17" t="s">
        <v>15</v>
      </c>
      <c r="H32" s="17" t="s">
        <v>15</v>
      </c>
      <c r="I32" s="23">
        <v>0.11530131077969805</v>
      </c>
      <c r="J32" s="23">
        <v>0.12531674181709176</v>
      </c>
      <c r="K32" s="23">
        <f t="shared" si="0"/>
        <v>1.0015431037393718E-2</v>
      </c>
      <c r="M32" s="23">
        <v>0.1116611954663993</v>
      </c>
      <c r="N32" s="23">
        <v>0.21997030441420495</v>
      </c>
      <c r="O32" s="23">
        <f t="shared" si="16"/>
        <v>0.10830910894780565</v>
      </c>
      <c r="P32" s="13"/>
    </row>
    <row r="33" spans="2:16" x14ac:dyDescent="0.25">
      <c r="B33" s="22" t="s">
        <v>33</v>
      </c>
      <c r="C33" s="12">
        <v>-39</v>
      </c>
      <c r="D33" s="12">
        <v>-37</v>
      </c>
      <c r="E33" s="12">
        <v>-24</v>
      </c>
      <c r="F33" s="12">
        <v>-138</v>
      </c>
      <c r="G33" s="12">
        <v>-435</v>
      </c>
      <c r="H33" s="12">
        <v>-212</v>
      </c>
      <c r="I33" s="12">
        <v>-245</v>
      </c>
      <c r="J33" s="12">
        <v>-344</v>
      </c>
      <c r="K33" s="12">
        <f t="shared" si="0"/>
        <v>-99</v>
      </c>
      <c r="M33" s="12">
        <v>-162</v>
      </c>
      <c r="N33" s="12">
        <v>-660</v>
      </c>
      <c r="O33" s="12">
        <f t="shared" si="16"/>
        <v>-498</v>
      </c>
      <c r="P33" s="13"/>
    </row>
    <row r="34" spans="2:16" x14ac:dyDescent="0.25">
      <c r="B34" s="22" t="s">
        <v>34</v>
      </c>
      <c r="C34" s="12"/>
      <c r="D34" s="23">
        <v>0.10271374038139168</v>
      </c>
      <c r="E34" s="23">
        <v>6.7310452411078053E-2</v>
      </c>
      <c r="F34" s="23">
        <v>0.15222580413129241</v>
      </c>
      <c r="G34" s="23">
        <v>0.28209196038237444</v>
      </c>
      <c r="H34" s="23">
        <v>0.12853092515001147</v>
      </c>
      <c r="I34" s="23">
        <v>0.16164531217233705</v>
      </c>
      <c r="J34" s="23">
        <v>0.21313576905767162</v>
      </c>
      <c r="K34" s="23">
        <f t="shared" si="0"/>
        <v>5.1490456885334573E-2</v>
      </c>
      <c r="M34" s="23">
        <v>0.22111947009623314</v>
      </c>
      <c r="N34" s="23">
        <v>0.55046124186186074</v>
      </c>
      <c r="O34" s="23">
        <f t="shared" si="16"/>
        <v>0.32934177176562762</v>
      </c>
      <c r="P34" s="13"/>
    </row>
    <row r="35" spans="2:16" x14ac:dyDescent="0.25">
      <c r="B35" s="22" t="s">
        <v>35</v>
      </c>
      <c r="C35" s="12">
        <v>-43</v>
      </c>
      <c r="D35" s="12">
        <v>-36</v>
      </c>
      <c r="E35" s="12">
        <v>-40</v>
      </c>
      <c r="F35" s="12">
        <v>-79</v>
      </c>
      <c r="G35" s="12">
        <v>-243</v>
      </c>
      <c r="H35" s="12">
        <v>-114</v>
      </c>
      <c r="I35" s="12">
        <v>-162</v>
      </c>
      <c r="J35" s="12">
        <v>-306</v>
      </c>
      <c r="K35" s="12">
        <f t="shared" si="0"/>
        <v>-144</v>
      </c>
      <c r="M35" s="12">
        <v>-142</v>
      </c>
      <c r="N35" s="12">
        <v>-1074</v>
      </c>
      <c r="O35" s="12">
        <f t="shared" si="16"/>
        <v>-932</v>
      </c>
      <c r="P35" s="13"/>
    </row>
    <row r="36" spans="2:16" x14ac:dyDescent="0.25">
      <c r="B36" s="22" t="s">
        <v>36</v>
      </c>
      <c r="C36" s="17" t="s">
        <v>15</v>
      </c>
      <c r="D36" s="17" t="s">
        <v>15</v>
      </c>
      <c r="E36" s="17" t="s">
        <v>15</v>
      </c>
      <c r="F36" s="17" t="s">
        <v>15</v>
      </c>
      <c r="G36" s="17" t="s">
        <v>15</v>
      </c>
      <c r="H36" s="17">
        <v>-36</v>
      </c>
      <c r="I36" s="17">
        <v>-31</v>
      </c>
      <c r="J36" s="12">
        <v>-45</v>
      </c>
      <c r="K36" s="12">
        <f t="shared" si="0"/>
        <v>-14</v>
      </c>
      <c r="M36" s="17">
        <v>-18</v>
      </c>
      <c r="N36" s="12">
        <v>-30</v>
      </c>
      <c r="O36" s="12">
        <f t="shared" si="16"/>
        <v>-12</v>
      </c>
      <c r="P36" s="13"/>
    </row>
    <row r="37" spans="2:16" x14ac:dyDescent="0.25">
      <c r="B37" s="22" t="s">
        <v>37</v>
      </c>
      <c r="C37" s="12">
        <v>-9</v>
      </c>
      <c r="D37" s="12">
        <v>-10</v>
      </c>
      <c r="E37" s="12">
        <v>10</v>
      </c>
      <c r="F37" s="12">
        <v>44</v>
      </c>
      <c r="G37" s="12">
        <v>105</v>
      </c>
      <c r="H37" s="12">
        <v>133</v>
      </c>
      <c r="I37" s="12">
        <v>-73</v>
      </c>
      <c r="J37" s="12">
        <v>31</v>
      </c>
      <c r="K37" s="12">
        <f t="shared" si="0"/>
        <v>104</v>
      </c>
      <c r="M37" s="12">
        <v>10</v>
      </c>
      <c r="N37" s="12">
        <v>360</v>
      </c>
      <c r="O37" s="12">
        <f t="shared" si="16"/>
        <v>350</v>
      </c>
      <c r="P37" s="13"/>
    </row>
    <row r="38" spans="2:16" x14ac:dyDescent="0.25">
      <c r="B38" s="11" t="s">
        <v>38</v>
      </c>
      <c r="C38" s="12">
        <v>-13</v>
      </c>
      <c r="D38" s="12">
        <v>-127</v>
      </c>
      <c r="E38" s="12">
        <v>-137</v>
      </c>
      <c r="F38" s="12">
        <v>-296</v>
      </c>
      <c r="G38" s="12">
        <v>-574</v>
      </c>
      <c r="H38" s="12">
        <v>-358</v>
      </c>
      <c r="I38" s="12">
        <v>-325</v>
      </c>
      <c r="J38" s="12">
        <v>-861</v>
      </c>
      <c r="K38" s="12">
        <f t="shared" si="0"/>
        <v>-536</v>
      </c>
      <c r="M38" s="12">
        <v>-317</v>
      </c>
      <c r="N38" s="12">
        <v>-489</v>
      </c>
      <c r="O38" s="12">
        <f t="shared" si="16"/>
        <v>-172</v>
      </c>
      <c r="P38" s="13"/>
    </row>
    <row r="39" spans="2:16" x14ac:dyDescent="0.25">
      <c r="B39" s="14" t="s">
        <v>39</v>
      </c>
      <c r="C39" s="15">
        <f t="shared" ref="C39:H39" si="17">SUM(C25:C29,C38)</f>
        <v>-277.12300000000005</v>
      </c>
      <c r="D39" s="15">
        <f t="shared" si="17"/>
        <v>335.61399999999958</v>
      </c>
      <c r="E39" s="15">
        <f t="shared" si="17"/>
        <v>376.86399999999912</v>
      </c>
      <c r="F39" s="15">
        <f t="shared" si="17"/>
        <v>988</v>
      </c>
      <c r="G39" s="15">
        <f t="shared" si="17"/>
        <v>748</v>
      </c>
      <c r="H39" s="15">
        <f t="shared" si="17"/>
        <v>1034</v>
      </c>
      <c r="I39" s="15">
        <f>SUM(I25:I29,I38)</f>
        <v>1088</v>
      </c>
      <c r="J39" s="15">
        <f>SUM(J25:J29,J38)</f>
        <v>2282</v>
      </c>
      <c r="K39" s="15">
        <f t="shared" si="0"/>
        <v>1194</v>
      </c>
      <c r="L39" s="16"/>
      <c r="M39" s="15">
        <f>SUM(M25:M29,M38)</f>
        <v>970</v>
      </c>
      <c r="N39" s="15">
        <f>SUM(N25:N29,N38)</f>
        <v>1175</v>
      </c>
      <c r="O39" s="15">
        <f t="shared" si="16"/>
        <v>205</v>
      </c>
      <c r="P39" s="13"/>
    </row>
    <row r="40" spans="2:16" x14ac:dyDescent="0.25">
      <c r="B40" s="18" t="s">
        <v>23</v>
      </c>
      <c r="C40" s="17" t="s">
        <v>15</v>
      </c>
      <c r="D40" s="19">
        <v>-266</v>
      </c>
      <c r="E40" s="17" t="s">
        <v>15</v>
      </c>
      <c r="F40" s="19">
        <v>-373.6</v>
      </c>
      <c r="G40" s="19">
        <v>-768</v>
      </c>
      <c r="H40" s="19">
        <v>179</v>
      </c>
      <c r="I40" s="12">
        <v>308</v>
      </c>
      <c r="J40" s="12" t="s">
        <v>15</v>
      </c>
      <c r="K40" s="19">
        <f>-I40</f>
        <v>-308</v>
      </c>
      <c r="M40" s="12" t="s">
        <v>15</v>
      </c>
      <c r="N40" s="12" t="s">
        <v>15</v>
      </c>
      <c r="O40" s="12" t="s">
        <v>15</v>
      </c>
      <c r="P40" s="13"/>
    </row>
    <row r="41" spans="2:16" x14ac:dyDescent="0.25">
      <c r="B41" s="18" t="s">
        <v>24</v>
      </c>
      <c r="C41" s="17" t="s">
        <v>15</v>
      </c>
      <c r="D41" s="17" t="s">
        <v>15</v>
      </c>
      <c r="E41" s="17" t="s">
        <v>15</v>
      </c>
      <c r="F41" s="17" t="s">
        <v>15</v>
      </c>
      <c r="G41" s="19">
        <v>107</v>
      </c>
      <c r="H41" s="17" t="s">
        <v>15</v>
      </c>
      <c r="I41" s="12" t="s">
        <v>15</v>
      </c>
      <c r="J41" s="12" t="s">
        <v>15</v>
      </c>
      <c r="K41" s="12" t="s">
        <v>15</v>
      </c>
      <c r="M41" s="12" t="s">
        <v>15</v>
      </c>
      <c r="N41" s="12" t="s">
        <v>15</v>
      </c>
      <c r="O41" s="12" t="s">
        <v>15</v>
      </c>
      <c r="P41" s="13"/>
    </row>
    <row r="42" spans="2:16" x14ac:dyDescent="0.25">
      <c r="B42" s="18" t="s">
        <v>40</v>
      </c>
      <c r="C42" s="17" t="s">
        <v>15</v>
      </c>
      <c r="D42" s="17" t="s">
        <v>15</v>
      </c>
      <c r="E42" s="17" t="s">
        <v>15</v>
      </c>
      <c r="F42" s="17" t="s">
        <v>15</v>
      </c>
      <c r="G42" s="19">
        <v>753</v>
      </c>
      <c r="H42" s="17" t="s">
        <v>15</v>
      </c>
      <c r="I42" s="12" t="s">
        <v>15</v>
      </c>
      <c r="J42" s="12" t="s">
        <v>15</v>
      </c>
      <c r="K42" s="12" t="s">
        <v>15</v>
      </c>
      <c r="M42" s="12" t="s">
        <v>15</v>
      </c>
      <c r="N42" s="12" t="s">
        <v>15</v>
      </c>
      <c r="O42" s="12" t="s">
        <v>15</v>
      </c>
      <c r="P42" s="13"/>
    </row>
    <row r="43" spans="2:16" x14ac:dyDescent="0.25">
      <c r="B43" s="18" t="s">
        <v>25</v>
      </c>
      <c r="C43" s="17" t="s">
        <v>15</v>
      </c>
      <c r="D43" s="17" t="s">
        <v>15</v>
      </c>
      <c r="E43" s="17" t="s">
        <v>15</v>
      </c>
      <c r="F43" s="19">
        <v>-92</v>
      </c>
      <c r="G43" s="19">
        <v>-110</v>
      </c>
      <c r="H43" s="19">
        <v>-38</v>
      </c>
      <c r="I43" s="12">
        <v>366</v>
      </c>
      <c r="J43" s="12">
        <v>-10</v>
      </c>
      <c r="K43" s="19">
        <f t="shared" si="0"/>
        <v>-376</v>
      </c>
      <c r="M43" s="12">
        <v>-10</v>
      </c>
      <c r="N43" s="12" t="s">
        <v>15</v>
      </c>
      <c r="O43" s="19">
        <f>-M43</f>
        <v>10</v>
      </c>
      <c r="P43" s="13"/>
    </row>
    <row r="44" spans="2:16" x14ac:dyDescent="0.25">
      <c r="B44" s="18" t="s">
        <v>26</v>
      </c>
      <c r="C44" s="17" t="s">
        <v>15</v>
      </c>
      <c r="D44" s="17" t="s">
        <v>15</v>
      </c>
      <c r="E44" s="17" t="s">
        <v>15</v>
      </c>
      <c r="F44" s="17" t="s">
        <v>15</v>
      </c>
      <c r="G44" s="17" t="s">
        <v>15</v>
      </c>
      <c r="H44" s="17" t="s">
        <v>15</v>
      </c>
      <c r="I44" s="12">
        <v>50</v>
      </c>
      <c r="J44" s="12">
        <v>-75</v>
      </c>
      <c r="K44" s="19">
        <f t="shared" si="0"/>
        <v>-125</v>
      </c>
      <c r="M44" s="12" t="s">
        <v>15</v>
      </c>
      <c r="N44" s="12">
        <v>-41</v>
      </c>
      <c r="O44" s="19">
        <f>N44</f>
        <v>-41</v>
      </c>
      <c r="P44" s="13"/>
    </row>
    <row r="45" spans="2:16" x14ac:dyDescent="0.25">
      <c r="B45" s="18" t="s">
        <v>41</v>
      </c>
      <c r="C45" s="17"/>
      <c r="D45" s="17"/>
      <c r="E45" s="17"/>
      <c r="F45" s="17"/>
      <c r="G45" s="17"/>
      <c r="H45" s="17"/>
      <c r="I45" s="12"/>
      <c r="J45" s="12">
        <v>218</v>
      </c>
      <c r="K45" s="17">
        <f t="shared" si="0"/>
        <v>218</v>
      </c>
      <c r="M45" s="12">
        <v>53</v>
      </c>
      <c r="N45" s="12">
        <v>142.32299999999998</v>
      </c>
      <c r="O45" s="12">
        <f>N45-M45</f>
        <v>89.322999999999979</v>
      </c>
      <c r="P45" s="13"/>
    </row>
    <row r="46" spans="2:16" x14ac:dyDescent="0.25">
      <c r="B46" s="18" t="s">
        <v>42</v>
      </c>
      <c r="C46" s="17" t="s">
        <v>15</v>
      </c>
      <c r="D46" s="17" t="s">
        <v>15</v>
      </c>
      <c r="E46" s="17" t="s">
        <v>15</v>
      </c>
      <c r="F46" s="17" t="s">
        <v>15</v>
      </c>
      <c r="G46" s="17" t="s">
        <v>15</v>
      </c>
      <c r="H46" s="17" t="s">
        <v>15</v>
      </c>
      <c r="I46" s="12">
        <v>66</v>
      </c>
      <c r="J46" s="12" t="s">
        <v>15</v>
      </c>
      <c r="K46" s="17">
        <f>-I46</f>
        <v>-66</v>
      </c>
      <c r="M46" s="12" t="s">
        <v>15</v>
      </c>
      <c r="N46" s="12" t="s">
        <v>15</v>
      </c>
      <c r="O46" s="12" t="s">
        <v>15</v>
      </c>
      <c r="P46" s="13"/>
    </row>
    <row r="47" spans="2:16" x14ac:dyDescent="0.25">
      <c r="B47" s="14" t="s">
        <v>43</v>
      </c>
      <c r="C47" s="15">
        <f t="shared" ref="C47:J47" si="18">SUM(C39:C46)</f>
        <v>-277.12300000000005</v>
      </c>
      <c r="D47" s="15">
        <f t="shared" si="18"/>
        <v>69.613999999999578</v>
      </c>
      <c r="E47" s="15">
        <f t="shared" si="18"/>
        <v>376.86399999999912</v>
      </c>
      <c r="F47" s="15">
        <f t="shared" si="18"/>
        <v>522.4</v>
      </c>
      <c r="G47" s="15">
        <f t="shared" si="18"/>
        <v>730</v>
      </c>
      <c r="H47" s="15">
        <f t="shared" si="18"/>
        <v>1175</v>
      </c>
      <c r="I47" s="15">
        <f t="shared" si="18"/>
        <v>1878</v>
      </c>
      <c r="J47" s="15">
        <f t="shared" si="18"/>
        <v>2415</v>
      </c>
      <c r="K47" s="15">
        <f t="shared" si="0"/>
        <v>537</v>
      </c>
      <c r="L47" s="16"/>
      <c r="M47" s="15">
        <f t="shared" ref="M47:N47" si="19">SUM(M39:M46)</f>
        <v>1013</v>
      </c>
      <c r="N47" s="15">
        <f t="shared" si="19"/>
        <v>1276.3229999999999</v>
      </c>
      <c r="O47" s="15">
        <f t="shared" ref="O47:O48" si="20">N47-M47</f>
        <v>263.32299999999987</v>
      </c>
      <c r="P47" s="20"/>
    </row>
    <row r="48" spans="2:16" x14ac:dyDescent="0.25">
      <c r="B48" s="11" t="s">
        <v>44</v>
      </c>
      <c r="C48" s="25">
        <f t="shared" ref="C48:F48" si="21">C47*1000000/118106896712*100</f>
        <v>-0.23463744092417899</v>
      </c>
      <c r="D48" s="25">
        <f t="shared" si="21"/>
        <v>5.894151987563534E-2</v>
      </c>
      <c r="E48" s="25">
        <f t="shared" si="21"/>
        <v>0.31908720869956497</v>
      </c>
      <c r="F48" s="25">
        <f t="shared" si="21"/>
        <v>0.442311172796163</v>
      </c>
      <c r="G48" s="26">
        <f>G47*1000000/118106896712*100</f>
        <v>0.61808414268989076</v>
      </c>
      <c r="H48" s="26">
        <f>H47*1000000/118106896712*100</f>
        <v>0.99486146254879682</v>
      </c>
      <c r="I48" s="26">
        <f>I47*1000000/118106896712*100</f>
        <v>1.5900849588652257</v>
      </c>
      <c r="J48" s="26">
        <f>J47*1000000/118106896712*100</f>
        <v>2.0447578145151866</v>
      </c>
      <c r="K48" s="25">
        <f t="shared" si="0"/>
        <v>0.45467285564996085</v>
      </c>
      <c r="M48" s="26">
        <f>M47*1000000/118106896712*100</f>
        <v>0.85769758430802656</v>
      </c>
      <c r="N48" s="26">
        <f>N47*1000000/118106896712*100</f>
        <v>1.080650694863547</v>
      </c>
      <c r="O48" s="25">
        <f t="shared" si="20"/>
        <v>0.22295311055552047</v>
      </c>
    </row>
    <row r="49" spans="2:16" x14ac:dyDescent="0.25">
      <c r="B49" s="11" t="s">
        <v>45</v>
      </c>
      <c r="C49" s="27" t="s">
        <v>15</v>
      </c>
      <c r="D49" s="27" t="s">
        <v>15</v>
      </c>
      <c r="E49" s="27" t="s">
        <v>15</v>
      </c>
      <c r="F49" s="27">
        <v>0.68</v>
      </c>
      <c r="G49" s="27">
        <v>0.64740941731074941</v>
      </c>
      <c r="H49" s="27">
        <v>0.60309906382978717</v>
      </c>
      <c r="I49" s="28">
        <f>I50/I47</f>
        <v>0.60383386581469645</v>
      </c>
      <c r="J49" s="28">
        <v>0.60642878643014497</v>
      </c>
      <c r="K49" s="27">
        <f t="shared" si="0"/>
        <v>2.594920615448526E-3</v>
      </c>
      <c r="M49" s="17" t="s">
        <v>15</v>
      </c>
      <c r="N49" s="17" t="s">
        <v>15</v>
      </c>
      <c r="O49" s="17" t="s">
        <v>15</v>
      </c>
      <c r="P49" s="13"/>
    </row>
    <row r="50" spans="2:16" x14ac:dyDescent="0.25">
      <c r="B50" s="11" t="s">
        <v>46</v>
      </c>
      <c r="C50" s="27" t="s">
        <v>15</v>
      </c>
      <c r="D50" s="27" t="s">
        <v>15</v>
      </c>
      <c r="E50" s="27" t="s">
        <v>15</v>
      </c>
      <c r="F50" s="12">
        <v>354.23200000000003</v>
      </c>
      <c r="G50" s="12">
        <v>471.60887463684708</v>
      </c>
      <c r="H50" s="12">
        <v>708.64139999999998</v>
      </c>
      <c r="I50" s="12">
        <v>1134</v>
      </c>
      <c r="J50" s="12">
        <v>1465</v>
      </c>
      <c r="K50" s="12">
        <f t="shared" si="0"/>
        <v>331</v>
      </c>
      <c r="M50" s="17" t="s">
        <v>15</v>
      </c>
      <c r="N50" s="17" t="s">
        <v>15</v>
      </c>
      <c r="O50" s="17" t="s">
        <v>15</v>
      </c>
      <c r="P50" s="13"/>
    </row>
    <row r="51" spans="2:16" x14ac:dyDescent="0.25">
      <c r="B51" s="11" t="s">
        <v>47</v>
      </c>
      <c r="C51" s="27" t="s">
        <v>15</v>
      </c>
      <c r="D51" s="27" t="s">
        <v>15</v>
      </c>
      <c r="E51" s="27" t="s">
        <v>15</v>
      </c>
      <c r="F51" s="26">
        <f>F50*1000000/118106896712*100</f>
        <v>0.29992490689496631</v>
      </c>
      <c r="G51" s="26">
        <f>G50*1000000/118106896712*100</f>
        <v>0.39930680406145175</v>
      </c>
      <c r="H51" s="26">
        <f>H50*1000000/118106896712*100</f>
        <v>0.60000001670351233</v>
      </c>
      <c r="I51" s="26">
        <v>0.96</v>
      </c>
      <c r="J51" s="26">
        <v>1.24</v>
      </c>
      <c r="K51" s="26">
        <f t="shared" si="0"/>
        <v>0.28000000000000003</v>
      </c>
      <c r="M51" s="17" t="s">
        <v>15</v>
      </c>
      <c r="N51" s="17" t="s">
        <v>15</v>
      </c>
      <c r="O51" s="17" t="s">
        <v>15</v>
      </c>
      <c r="P51" s="13"/>
    </row>
    <row r="52" spans="2:16" x14ac:dyDescent="0.25">
      <c r="B52" s="11"/>
      <c r="C52" s="29"/>
      <c r="D52" s="29"/>
      <c r="E52" s="29"/>
      <c r="F52" s="26"/>
      <c r="G52" s="26"/>
      <c r="H52" s="26"/>
      <c r="I52" s="26"/>
      <c r="J52" s="26"/>
      <c r="K52" s="26"/>
      <c r="M52" s="26"/>
      <c r="N52" s="26"/>
      <c r="O52" s="26"/>
      <c r="P52" s="20"/>
    </row>
    <row r="53" spans="2:16" x14ac:dyDescent="0.25">
      <c r="B53" s="14" t="s">
        <v>48</v>
      </c>
      <c r="C53" s="15">
        <v>146</v>
      </c>
      <c r="D53" s="15">
        <v>1095</v>
      </c>
      <c r="E53" s="15">
        <v>2004</v>
      </c>
      <c r="F53" s="15">
        <v>1923</v>
      </c>
      <c r="G53" s="15">
        <v>2122</v>
      </c>
      <c r="H53" s="15">
        <v>4168</v>
      </c>
      <c r="I53" s="15">
        <v>4315</v>
      </c>
      <c r="J53" s="15">
        <v>6315</v>
      </c>
      <c r="K53" s="15">
        <f t="shared" si="0"/>
        <v>2000</v>
      </c>
      <c r="L53" s="16"/>
      <c r="M53" s="15">
        <v>3541</v>
      </c>
      <c r="N53" s="15">
        <v>-1064</v>
      </c>
      <c r="O53" s="15">
        <f t="shared" ref="O53:O58" si="22">N53-M53</f>
        <v>-4605</v>
      </c>
      <c r="P53" s="13"/>
    </row>
    <row r="54" spans="2:16" x14ac:dyDescent="0.25">
      <c r="B54" s="11" t="s">
        <v>49</v>
      </c>
      <c r="C54" s="12">
        <v>-525</v>
      </c>
      <c r="D54" s="12">
        <v>-1093</v>
      </c>
      <c r="E54" s="12">
        <v>-1560</v>
      </c>
      <c r="F54" s="12">
        <v>-1747</v>
      </c>
      <c r="G54" s="12">
        <v>-1602</v>
      </c>
      <c r="H54" s="12">
        <v>-1621</v>
      </c>
      <c r="I54" s="12">
        <v>-2155</v>
      </c>
      <c r="J54" s="12">
        <v>-3504</v>
      </c>
      <c r="K54" s="30">
        <f t="shared" si="0"/>
        <v>-1349</v>
      </c>
      <c r="M54" s="12">
        <v>-1201</v>
      </c>
      <c r="N54" s="12">
        <v>-2164</v>
      </c>
      <c r="O54" s="30">
        <f t="shared" si="22"/>
        <v>-963</v>
      </c>
      <c r="P54" s="13"/>
    </row>
    <row r="55" spans="2:16" x14ac:dyDescent="0.25">
      <c r="B55" s="14" t="s">
        <v>50</v>
      </c>
      <c r="C55" s="15">
        <f t="shared" ref="C55:H55" si="23">SUM(C53:C54)</f>
        <v>-379</v>
      </c>
      <c r="D55" s="15">
        <f t="shared" si="23"/>
        <v>2</v>
      </c>
      <c r="E55" s="15">
        <f t="shared" si="23"/>
        <v>444</v>
      </c>
      <c r="F55" s="15">
        <f t="shared" si="23"/>
        <v>176</v>
      </c>
      <c r="G55" s="15">
        <f t="shared" si="23"/>
        <v>520</v>
      </c>
      <c r="H55" s="15">
        <f t="shared" si="23"/>
        <v>2547</v>
      </c>
      <c r="I55" s="15">
        <f>SUM(I53:I54)</f>
        <v>2160</v>
      </c>
      <c r="J55" s="15">
        <f>SUM(J53:J54)</f>
        <v>2811</v>
      </c>
      <c r="K55" s="15">
        <f t="shared" si="0"/>
        <v>651</v>
      </c>
      <c r="L55" s="16"/>
      <c r="M55" s="15">
        <f>SUM(M53:M54)</f>
        <v>2340</v>
      </c>
      <c r="N55" s="15">
        <f>SUM(N53:N54)</f>
        <v>-3228</v>
      </c>
      <c r="O55" s="15">
        <f t="shared" si="22"/>
        <v>-5568</v>
      </c>
      <c r="P55" s="13"/>
    </row>
    <row r="56" spans="2:16" x14ac:dyDescent="0.25">
      <c r="B56" s="11" t="s">
        <v>51</v>
      </c>
      <c r="C56" s="12">
        <v>-596</v>
      </c>
      <c r="D56" s="12">
        <v>-374.26</v>
      </c>
      <c r="E56" s="12">
        <v>-602</v>
      </c>
      <c r="F56" s="12">
        <v>-886</v>
      </c>
      <c r="G56" s="12">
        <v>-1047</v>
      </c>
      <c r="H56" s="12">
        <v>-1586</v>
      </c>
      <c r="I56" s="12">
        <v>-1211</v>
      </c>
      <c r="J56" s="12">
        <v>-1445</v>
      </c>
      <c r="K56" s="30">
        <f t="shared" si="0"/>
        <v>-234</v>
      </c>
      <c r="M56" s="12">
        <v>-777</v>
      </c>
      <c r="N56" s="12">
        <v>-923</v>
      </c>
      <c r="O56" s="30">
        <f t="shared" si="22"/>
        <v>-146</v>
      </c>
      <c r="P56" s="13"/>
    </row>
    <row r="57" spans="2:16" x14ac:dyDescent="0.25">
      <c r="B57" s="11" t="s">
        <v>52</v>
      </c>
      <c r="C57" s="30">
        <v>-48</v>
      </c>
      <c r="D57" s="30">
        <v>-73</v>
      </c>
      <c r="E57" s="30">
        <v>-145</v>
      </c>
      <c r="F57" s="30">
        <v>-65</v>
      </c>
      <c r="G57" s="12">
        <v>-35</v>
      </c>
      <c r="H57" s="12">
        <v>-456</v>
      </c>
      <c r="I57" s="12">
        <v>-445</v>
      </c>
      <c r="J57" s="12">
        <v>-1258</v>
      </c>
      <c r="K57" s="30">
        <f t="shared" si="0"/>
        <v>-813</v>
      </c>
      <c r="M57" s="12">
        <v>-491</v>
      </c>
      <c r="N57" s="12">
        <v>-385</v>
      </c>
      <c r="O57" s="30">
        <f t="shared" si="22"/>
        <v>106</v>
      </c>
      <c r="P57" s="13"/>
    </row>
    <row r="58" spans="2:16" x14ac:dyDescent="0.25">
      <c r="B58" s="14" t="s">
        <v>53</v>
      </c>
      <c r="C58" s="15">
        <f>SUM(C55:C57)</f>
        <v>-1023</v>
      </c>
      <c r="D58" s="15">
        <f>SUM(D55:D57)</f>
        <v>-445.26</v>
      </c>
      <c r="E58" s="15">
        <f>SUM(E55:E57)</f>
        <v>-303</v>
      </c>
      <c r="F58" s="15">
        <f>SUM(F55:F57)</f>
        <v>-775</v>
      </c>
      <c r="G58" s="15">
        <f t="shared" ref="G58:H58" si="24">SUM(G55:G57)</f>
        <v>-562</v>
      </c>
      <c r="H58" s="15">
        <f t="shared" si="24"/>
        <v>505</v>
      </c>
      <c r="I58" s="15">
        <f>SUM(I55:I57)</f>
        <v>504</v>
      </c>
      <c r="J58" s="15">
        <f>SUM(J55:J57)</f>
        <v>108</v>
      </c>
      <c r="K58" s="15">
        <f t="shared" si="0"/>
        <v>-396</v>
      </c>
      <c r="L58" s="16"/>
      <c r="M58" s="15">
        <f>SUM(M55:M57)</f>
        <v>1072</v>
      </c>
      <c r="N58" s="15">
        <f>SUM(N55:N57)</f>
        <v>-4536</v>
      </c>
      <c r="O58" s="15">
        <f t="shared" si="22"/>
        <v>-5608</v>
      </c>
      <c r="P58" s="13"/>
    </row>
    <row r="59" spans="2:16" x14ac:dyDescent="0.25">
      <c r="B59" s="18"/>
      <c r="C59" s="31"/>
      <c r="D59" s="32"/>
      <c r="E59" s="32"/>
      <c r="F59" s="32"/>
      <c r="G59" s="32"/>
      <c r="H59" s="32"/>
      <c r="I59" s="32"/>
      <c r="J59" s="32"/>
      <c r="K59" s="32"/>
      <c r="M59" s="32"/>
      <c r="N59" s="32"/>
      <c r="O59" s="32"/>
      <c r="P59" s="13"/>
    </row>
    <row r="60" spans="2:16" x14ac:dyDescent="0.25">
      <c r="B60" s="18" t="s">
        <v>54</v>
      </c>
      <c r="C60" s="17" t="s">
        <v>15</v>
      </c>
      <c r="D60" s="32">
        <v>5461</v>
      </c>
      <c r="E60" s="32">
        <v>6083</v>
      </c>
      <c r="F60" s="33">
        <v>6490</v>
      </c>
      <c r="G60" s="33">
        <v>7303</v>
      </c>
      <c r="H60" s="33">
        <v>8702</v>
      </c>
      <c r="I60" s="33">
        <f>H64</f>
        <v>8846.7929999999997</v>
      </c>
      <c r="J60" s="12">
        <v>9399</v>
      </c>
      <c r="K60" s="33">
        <f t="shared" si="0"/>
        <v>552.20700000000033</v>
      </c>
      <c r="M60" s="33">
        <f>J60</f>
        <v>9399</v>
      </c>
      <c r="N60" s="12">
        <v>9028</v>
      </c>
      <c r="O60" s="33">
        <f t="shared" ref="O60:O64" si="25">N60-M60</f>
        <v>-371</v>
      </c>
      <c r="P60" s="13"/>
    </row>
    <row r="61" spans="2:16" x14ac:dyDescent="0.25">
      <c r="B61" s="34" t="s">
        <v>53</v>
      </c>
      <c r="C61" s="17" t="s">
        <v>15</v>
      </c>
      <c r="D61" s="33">
        <v>445.26</v>
      </c>
      <c r="E61" s="33">
        <v>303</v>
      </c>
      <c r="F61" s="33">
        <v>775</v>
      </c>
      <c r="G61" s="33">
        <v>562</v>
      </c>
      <c r="H61" s="33">
        <v>-505</v>
      </c>
      <c r="I61" s="33">
        <f>-I58</f>
        <v>-504</v>
      </c>
      <c r="J61" s="12">
        <v>-108</v>
      </c>
      <c r="K61" s="33">
        <f t="shared" si="0"/>
        <v>396</v>
      </c>
      <c r="M61" s="33">
        <v>-1072</v>
      </c>
      <c r="N61" s="12">
        <v>4536</v>
      </c>
      <c r="O61" s="33">
        <f t="shared" si="25"/>
        <v>5608</v>
      </c>
      <c r="P61" s="13"/>
    </row>
    <row r="62" spans="2:16" x14ac:dyDescent="0.25">
      <c r="B62" s="34" t="s">
        <v>55</v>
      </c>
      <c r="C62" s="17" t="s">
        <v>15</v>
      </c>
      <c r="D62" s="17" t="s">
        <v>15</v>
      </c>
      <c r="E62" s="17" t="s">
        <v>15</v>
      </c>
      <c r="F62" s="17" t="s">
        <v>15</v>
      </c>
      <c r="G62" s="33">
        <v>354</v>
      </c>
      <c r="H62" s="33">
        <v>471.60887463684708</v>
      </c>
      <c r="I62" s="33">
        <v>708.64</v>
      </c>
      <c r="J62" s="12">
        <v>1134</v>
      </c>
      <c r="K62" s="33">
        <f t="shared" si="0"/>
        <v>425.36</v>
      </c>
      <c r="M62" s="33">
        <v>1134</v>
      </c>
      <c r="N62" s="12">
        <v>1465.4899323999996</v>
      </c>
      <c r="O62" s="33">
        <f t="shared" si="25"/>
        <v>331.48993239999959</v>
      </c>
      <c r="P62" s="13"/>
    </row>
    <row r="63" spans="2:16" x14ac:dyDescent="0.25">
      <c r="B63" s="34" t="s">
        <v>56</v>
      </c>
      <c r="C63" s="17" t="s">
        <v>15</v>
      </c>
      <c r="D63" s="33">
        <v>176.74</v>
      </c>
      <c r="E63" s="33">
        <v>107</v>
      </c>
      <c r="F63" s="33">
        <v>38</v>
      </c>
      <c r="G63" s="33">
        <v>483</v>
      </c>
      <c r="H63" s="33">
        <v>178.18412536315191</v>
      </c>
      <c r="I63" s="33">
        <v>347.56700000000092</v>
      </c>
      <c r="J63" s="12">
        <v>-1397</v>
      </c>
      <c r="K63" s="33">
        <f t="shared" si="0"/>
        <v>-1744.5670000000009</v>
      </c>
      <c r="M63" s="33">
        <v>-284</v>
      </c>
      <c r="N63" s="12">
        <v>954.51006760000018</v>
      </c>
      <c r="O63" s="33">
        <f t="shared" si="25"/>
        <v>1238.5100676000002</v>
      </c>
      <c r="P63" s="13"/>
    </row>
    <row r="64" spans="2:16" x14ac:dyDescent="0.25">
      <c r="B64" s="18" t="s">
        <v>57</v>
      </c>
      <c r="C64" s="33">
        <v>5461</v>
      </c>
      <c r="D64" s="33">
        <v>6083</v>
      </c>
      <c r="E64" s="33">
        <v>6493</v>
      </c>
      <c r="F64" s="33">
        <v>7303</v>
      </c>
      <c r="G64" s="33">
        <v>8702</v>
      </c>
      <c r="H64" s="33">
        <v>8846.7929999999997</v>
      </c>
      <c r="I64" s="33">
        <v>9399</v>
      </c>
      <c r="J64" s="12">
        <v>9028</v>
      </c>
      <c r="K64" s="33">
        <f t="shared" si="0"/>
        <v>-371</v>
      </c>
      <c r="M64" s="33">
        <v>9177</v>
      </c>
      <c r="N64" s="12">
        <v>15984</v>
      </c>
      <c r="O64" s="33">
        <f t="shared" si="25"/>
        <v>6807</v>
      </c>
      <c r="P64" s="13"/>
    </row>
    <row r="65" spans="2:16" x14ac:dyDescent="0.25">
      <c r="B65" s="14" t="s">
        <v>58</v>
      </c>
      <c r="C65" s="35">
        <f>ROUND(C64/C23,1)</f>
        <v>7</v>
      </c>
      <c r="D65" s="35">
        <f>ROUND(D64/D23,1)</f>
        <v>5.5</v>
      </c>
      <c r="E65" s="35">
        <v>3.4</v>
      </c>
      <c r="F65" s="35">
        <f>ROUND(F64/F23,1)</f>
        <v>2.8</v>
      </c>
      <c r="G65" s="35">
        <f>ROUND(G64/G23,1)</f>
        <v>2.2999999999999998</v>
      </c>
      <c r="H65" s="35">
        <f>ROUND(H64/H23,1)</f>
        <v>1.9</v>
      </c>
      <c r="I65" s="35">
        <f>ROUND(I64/I23,1)</f>
        <v>1.7</v>
      </c>
      <c r="J65" s="35">
        <f>ROUND(J64/J23,1)</f>
        <v>1.2</v>
      </c>
      <c r="K65" s="35">
        <f t="shared" si="0"/>
        <v>-0.5</v>
      </c>
      <c r="L65" s="16"/>
      <c r="M65" s="35" t="s">
        <v>15</v>
      </c>
      <c r="N65" s="35" t="s">
        <v>15</v>
      </c>
      <c r="O65" s="35" t="s">
        <v>15</v>
      </c>
      <c r="P65" s="13"/>
    </row>
    <row r="66" spans="2:16" x14ac:dyDescent="0.25">
      <c r="B66" s="5"/>
      <c r="C66" s="36"/>
      <c r="D66" s="36"/>
      <c r="E66" s="36"/>
      <c r="F66" s="36"/>
      <c r="G66" s="36"/>
      <c r="H66" s="36"/>
      <c r="K66" s="36"/>
      <c r="O66" s="36"/>
    </row>
    <row r="67" spans="2:16" x14ac:dyDescent="0.25">
      <c r="B67" s="14" t="s">
        <v>59</v>
      </c>
      <c r="C67" s="15">
        <v>5957.2849999999999</v>
      </c>
      <c r="D67" s="15">
        <v>6675.1779999999999</v>
      </c>
      <c r="E67" s="15">
        <v>7195.3059479999993</v>
      </c>
      <c r="F67" s="15">
        <v>8235</v>
      </c>
      <c r="G67" s="15">
        <v>10137</v>
      </c>
      <c r="H67" s="15">
        <v>10618.456</v>
      </c>
      <c r="I67" s="15">
        <v>11305</v>
      </c>
      <c r="J67" s="15">
        <v>11325.24198615</v>
      </c>
      <c r="K67" s="15">
        <f>J67-I67</f>
        <v>20.24198615000023</v>
      </c>
      <c r="L67" s="16"/>
      <c r="M67" s="15">
        <v>11328</v>
      </c>
      <c r="N67" s="15">
        <v>19699</v>
      </c>
      <c r="O67" s="15">
        <f>N67-M67</f>
        <v>8371</v>
      </c>
    </row>
    <row r="68" spans="2:16" x14ac:dyDescent="0.25">
      <c r="C68" s="1"/>
      <c r="E68" s="1"/>
      <c r="F68" s="1"/>
      <c r="G68" s="1"/>
      <c r="H68" s="1"/>
      <c r="J68" s="13"/>
      <c r="K68" s="1"/>
      <c r="N68" s="13"/>
      <c r="O68" s="1"/>
    </row>
    <row r="69" spans="2:16" x14ac:dyDescent="0.25">
      <c r="C69" s="1"/>
      <c r="E69" s="37"/>
      <c r="F69" s="37"/>
      <c r="G69" s="1"/>
      <c r="H69" s="1"/>
      <c r="K69" s="1"/>
      <c r="O69" s="1"/>
    </row>
    <row r="70" spans="2:16" x14ac:dyDescent="0.25">
      <c r="F70" s="1"/>
      <c r="G70" s="1"/>
      <c r="H70" s="1"/>
      <c r="J70" s="1"/>
      <c r="N70" s="1"/>
    </row>
    <row r="72" spans="2:16" x14ac:dyDescent="0.25">
      <c r="F72" s="1"/>
      <c r="G72" s="1"/>
      <c r="H72" s="1"/>
      <c r="I72" s="1"/>
      <c r="J72" s="1"/>
      <c r="K72" s="1"/>
      <c r="M72" s="1"/>
      <c r="N72" s="1"/>
      <c r="O72" s="1"/>
    </row>
    <row r="73" spans="2:16" x14ac:dyDescent="0.25">
      <c r="F73" s="1"/>
      <c r="G73" s="1"/>
      <c r="H73" s="1"/>
      <c r="I73" s="1"/>
      <c r="J73" s="1"/>
      <c r="M73" s="1"/>
      <c r="N73" s="1"/>
    </row>
    <row r="74" spans="2:16" x14ac:dyDescent="0.25">
      <c r="F74" s="38"/>
      <c r="G74" s="38"/>
      <c r="H74" s="38"/>
      <c r="I74" s="38"/>
      <c r="J74" s="38"/>
      <c r="M74" s="38"/>
      <c r="N74" s="38"/>
    </row>
  </sheetData>
  <pageMargins left="0.7" right="0.7" top="0.75" bottom="0.75" header="0.3" footer="0.3"/>
  <pageSetup paperSize="9" scale="41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58"/>
  <sheetViews>
    <sheetView showGridLines="0" tabSelected="1"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customWidth="1"/>
    <col min="12" max="12" width="3.140625" customWidth="1"/>
    <col min="13" max="15" width="10.5703125" customWidth="1"/>
  </cols>
  <sheetData>
    <row r="1" spans="2:16" x14ac:dyDescent="0.25">
      <c r="C1" s="1"/>
      <c r="D1" s="1"/>
      <c r="E1" s="1"/>
      <c r="F1" s="2"/>
      <c r="G1" s="2"/>
      <c r="H1" s="2"/>
      <c r="K1" s="2"/>
      <c r="M1" s="2"/>
    </row>
    <row r="2" spans="2:16" x14ac:dyDescent="0.25">
      <c r="B2" s="39" t="s">
        <v>60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40" t="s">
        <v>1</v>
      </c>
      <c r="J2" s="40" t="s">
        <v>1</v>
      </c>
      <c r="K2" s="6" t="str">
        <f>Consolidated!K2</f>
        <v>Delta</v>
      </c>
      <c r="L2" s="41"/>
      <c r="M2" s="6" t="s">
        <v>3</v>
      </c>
      <c r="N2" s="6" t="s">
        <v>3</v>
      </c>
      <c r="O2" s="6" t="s">
        <v>2</v>
      </c>
    </row>
    <row r="3" spans="2:16" ht="15.75" thickBot="1" x14ac:dyDescent="0.3">
      <c r="B3" s="42" t="s">
        <v>4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9">
        <v>2020</v>
      </c>
      <c r="J3" s="9">
        <v>2021</v>
      </c>
      <c r="K3" s="10" t="str">
        <f>Consolidated!K3</f>
        <v>20-21</v>
      </c>
      <c r="L3" s="41"/>
      <c r="M3" s="9">
        <v>2021</v>
      </c>
      <c r="N3" s="9">
        <v>2022</v>
      </c>
      <c r="O3" s="10" t="s">
        <v>6</v>
      </c>
    </row>
    <row r="4" spans="2:16" x14ac:dyDescent="0.25">
      <c r="B4" s="18" t="s">
        <v>61</v>
      </c>
      <c r="C4" s="44">
        <v>299.22800000000018</v>
      </c>
      <c r="D4" s="44">
        <v>311.61800000000056</v>
      </c>
      <c r="E4" s="44">
        <v>312.18900000000048</v>
      </c>
      <c r="F4" s="44">
        <v>334.85956230004615</v>
      </c>
      <c r="G4" s="44">
        <v>621</v>
      </c>
      <c r="H4" s="44">
        <v>657</v>
      </c>
      <c r="I4" s="44">
        <v>738</v>
      </c>
      <c r="J4" s="44">
        <v>974</v>
      </c>
      <c r="K4" s="44">
        <f>J4-I4</f>
        <v>236</v>
      </c>
      <c r="L4" s="4"/>
      <c r="M4" s="44">
        <v>418</v>
      </c>
      <c r="N4" s="44">
        <v>1395</v>
      </c>
      <c r="O4" s="44">
        <f>N4-M4</f>
        <v>977</v>
      </c>
      <c r="P4" s="19"/>
    </row>
    <row r="5" spans="2:16" x14ac:dyDescent="0.25">
      <c r="B5" s="18" t="s">
        <v>62</v>
      </c>
      <c r="C5" s="44">
        <v>22.606147221013639</v>
      </c>
      <c r="D5" s="44">
        <v>72.397000000000673</v>
      </c>
      <c r="E5" s="44">
        <v>144.58423525436825</v>
      </c>
      <c r="F5" s="44">
        <v>73.956999999999894</v>
      </c>
      <c r="G5" s="44">
        <v>46</v>
      </c>
      <c r="H5" s="44">
        <v>97</v>
      </c>
      <c r="I5" s="44">
        <v>482</v>
      </c>
      <c r="J5" s="44">
        <v>189</v>
      </c>
      <c r="K5" s="44">
        <f t="shared" ref="K5:K19" si="0">J5-I5</f>
        <v>-293</v>
      </c>
      <c r="L5" s="4"/>
      <c r="M5" s="44">
        <v>210</v>
      </c>
      <c r="N5" s="44">
        <v>384</v>
      </c>
      <c r="O5" s="44">
        <f t="shared" ref="O5:O19" si="1">N5-M5</f>
        <v>174</v>
      </c>
      <c r="P5" s="19"/>
    </row>
    <row r="6" spans="2:16" hidden="1" x14ac:dyDescent="0.25">
      <c r="B6" s="18" t="s">
        <v>63</v>
      </c>
      <c r="C6" s="45" t="s">
        <v>15</v>
      </c>
      <c r="D6" s="45" t="s">
        <v>15</v>
      </c>
      <c r="E6" s="45" t="s">
        <v>15</v>
      </c>
      <c r="F6" s="45" t="s">
        <v>15</v>
      </c>
      <c r="G6" s="45" t="s">
        <v>15</v>
      </c>
      <c r="H6" s="45" t="s">
        <v>15</v>
      </c>
      <c r="I6" s="45" t="s">
        <v>15</v>
      </c>
      <c r="J6" s="45" t="s">
        <v>15</v>
      </c>
      <c r="K6" s="45" t="s">
        <v>15</v>
      </c>
      <c r="L6" s="46"/>
      <c r="M6" s="45" t="s">
        <v>15</v>
      </c>
      <c r="N6" s="45" t="s">
        <v>15</v>
      </c>
      <c r="O6" s="45" t="s">
        <v>15</v>
      </c>
      <c r="P6" s="19"/>
    </row>
    <row r="7" spans="2:16" x14ac:dyDescent="0.25">
      <c r="B7" s="18" t="s">
        <v>64</v>
      </c>
      <c r="C7" s="44">
        <v>-173.78114722101355</v>
      </c>
      <c r="D7" s="44">
        <v>-223.7378191757397</v>
      </c>
      <c r="E7" s="44">
        <v>-230.84508382045973</v>
      </c>
      <c r="F7" s="44">
        <v>-246.28291100266162</v>
      </c>
      <c r="G7" s="44">
        <f>-323-G27</f>
        <v>-315</v>
      </c>
      <c r="H7" s="44">
        <f>-325-H27</f>
        <v>-307</v>
      </c>
      <c r="I7" s="44">
        <v>-369</v>
      </c>
      <c r="J7" s="44">
        <v>-427</v>
      </c>
      <c r="K7" s="44">
        <f t="shared" si="0"/>
        <v>-58</v>
      </c>
      <c r="L7" s="47"/>
      <c r="M7" s="44">
        <v>-198</v>
      </c>
      <c r="N7" s="44">
        <v>-350</v>
      </c>
      <c r="O7" s="44">
        <f t="shared" si="1"/>
        <v>-152</v>
      </c>
      <c r="P7" s="19"/>
    </row>
    <row r="8" spans="2:16" x14ac:dyDescent="0.25">
      <c r="B8" s="18" t="s">
        <v>65</v>
      </c>
      <c r="C8" s="44">
        <f>SUM(C9:C11)</f>
        <v>11.761999999999986</v>
      </c>
      <c r="D8" s="44">
        <f t="shared" ref="D8:J8" si="2">SUM(D9:D11)</f>
        <v>111.092</v>
      </c>
      <c r="E8" s="44">
        <f t="shared" si="2"/>
        <v>70.445821000000009</v>
      </c>
      <c r="F8" s="44">
        <f t="shared" si="2"/>
        <v>88.808999999999997</v>
      </c>
      <c r="G8" s="44">
        <f t="shared" si="2"/>
        <v>58</v>
      </c>
      <c r="H8" s="44">
        <f t="shared" si="2"/>
        <v>120</v>
      </c>
      <c r="I8" s="44">
        <f t="shared" si="2"/>
        <v>44</v>
      </c>
      <c r="J8" s="44">
        <f t="shared" si="2"/>
        <v>154</v>
      </c>
      <c r="K8" s="44">
        <f t="shared" si="0"/>
        <v>110</v>
      </c>
      <c r="L8" s="4"/>
      <c r="M8" s="44">
        <f t="shared" ref="M8:N8" si="3">SUM(M9:M11)</f>
        <v>77</v>
      </c>
      <c r="N8" s="44">
        <f t="shared" si="3"/>
        <v>70</v>
      </c>
      <c r="O8" s="44">
        <f t="shared" si="1"/>
        <v>-7</v>
      </c>
      <c r="P8" s="19"/>
    </row>
    <row r="9" spans="2:16" x14ac:dyDescent="0.25">
      <c r="B9" s="34" t="s">
        <v>66</v>
      </c>
      <c r="C9" s="44">
        <v>-165.72300000000001</v>
      </c>
      <c r="D9" s="44">
        <v>-131.27500000000001</v>
      </c>
      <c r="E9" s="44">
        <v>-86.338178999999997</v>
      </c>
      <c r="F9" s="44">
        <v>-75.184078999999997</v>
      </c>
      <c r="G9" s="44">
        <f>-84-G28</f>
        <v>-84</v>
      </c>
      <c r="H9" s="44">
        <f>-63-H28</f>
        <v>-63</v>
      </c>
      <c r="I9" s="44">
        <v>-140</v>
      </c>
      <c r="J9" s="44">
        <v>-73</v>
      </c>
      <c r="K9" s="44">
        <f t="shared" si="0"/>
        <v>67</v>
      </c>
      <c r="L9" s="4"/>
      <c r="M9" s="44">
        <v>-14</v>
      </c>
      <c r="N9" s="44">
        <v>-65</v>
      </c>
      <c r="O9" s="44">
        <f t="shared" si="1"/>
        <v>-51</v>
      </c>
      <c r="P9" s="19"/>
    </row>
    <row r="10" spans="2:16" x14ac:dyDescent="0.25">
      <c r="B10" s="34" t="s">
        <v>67</v>
      </c>
      <c r="C10" s="44">
        <v>79.484999999999999</v>
      </c>
      <c r="D10" s="44">
        <v>86.367000000000004</v>
      </c>
      <c r="E10" s="44">
        <v>66.784000000000006</v>
      </c>
      <c r="F10" s="44">
        <v>70.993078999999994</v>
      </c>
      <c r="G10" s="44">
        <v>84</v>
      </c>
      <c r="H10" s="44">
        <v>144</v>
      </c>
      <c r="I10" s="44">
        <v>138</v>
      </c>
      <c r="J10" s="44">
        <v>166</v>
      </c>
      <c r="K10" s="44">
        <f t="shared" si="0"/>
        <v>28</v>
      </c>
      <c r="L10" s="4"/>
      <c r="M10" s="44">
        <v>72</v>
      </c>
      <c r="N10" s="44">
        <v>110</v>
      </c>
      <c r="O10" s="44">
        <f t="shared" si="1"/>
        <v>38</v>
      </c>
      <c r="P10" s="19"/>
    </row>
    <row r="11" spans="2:16" x14ac:dyDescent="0.25">
      <c r="B11" s="34" t="s">
        <v>68</v>
      </c>
      <c r="C11" s="44">
        <v>98</v>
      </c>
      <c r="D11" s="44">
        <v>156</v>
      </c>
      <c r="E11" s="44">
        <v>90</v>
      </c>
      <c r="F11" s="44">
        <v>93</v>
      </c>
      <c r="G11" s="44">
        <v>58</v>
      </c>
      <c r="H11" s="44">
        <v>39</v>
      </c>
      <c r="I11" s="44">
        <v>46</v>
      </c>
      <c r="J11" s="44">
        <v>61</v>
      </c>
      <c r="K11" s="44">
        <f t="shared" si="0"/>
        <v>15</v>
      </c>
      <c r="L11" s="4"/>
      <c r="M11" s="44">
        <v>19</v>
      </c>
      <c r="N11" s="44">
        <v>25</v>
      </c>
      <c r="O11" s="44">
        <f t="shared" si="1"/>
        <v>6</v>
      </c>
      <c r="P11" s="19"/>
    </row>
    <row r="12" spans="2:16" x14ac:dyDescent="0.25">
      <c r="B12" s="18" t="s">
        <v>37</v>
      </c>
      <c r="C12" s="44">
        <v>-14.565</v>
      </c>
      <c r="D12" s="44">
        <v>8.3518759999999972</v>
      </c>
      <c r="E12" s="44">
        <v>-6.4528210000000072</v>
      </c>
      <c r="F12" s="44">
        <v>-4.5625489498420002</v>
      </c>
      <c r="G12" s="44">
        <f>-23-G29</f>
        <v>-23</v>
      </c>
      <c r="H12" s="44">
        <f>-9-H29</f>
        <v>-9</v>
      </c>
      <c r="I12" s="44">
        <v>-19</v>
      </c>
      <c r="J12" s="44">
        <v>72</v>
      </c>
      <c r="K12" s="44">
        <f t="shared" si="0"/>
        <v>91</v>
      </c>
      <c r="L12" s="4"/>
      <c r="M12" s="44">
        <v>-1</v>
      </c>
      <c r="N12" s="44">
        <v>-50</v>
      </c>
      <c r="O12" s="44">
        <f t="shared" si="1"/>
        <v>-49</v>
      </c>
      <c r="P12" s="19"/>
    </row>
    <row r="13" spans="2:16" x14ac:dyDescent="0.25">
      <c r="B13" s="14" t="s">
        <v>27</v>
      </c>
      <c r="C13" s="48">
        <f>SUM(C4:C8,C12)</f>
        <v>145.25000000000028</v>
      </c>
      <c r="D13" s="48">
        <f t="shared" ref="D13:J13" si="4">SUM(D4:D8,D12)</f>
        <v>279.72105682426155</v>
      </c>
      <c r="E13" s="48">
        <f t="shared" si="4"/>
        <v>289.92115143390896</v>
      </c>
      <c r="F13" s="48">
        <f t="shared" si="4"/>
        <v>246.7801023475424</v>
      </c>
      <c r="G13" s="48">
        <f t="shared" si="4"/>
        <v>387</v>
      </c>
      <c r="H13" s="48">
        <f t="shared" si="4"/>
        <v>558</v>
      </c>
      <c r="I13" s="48">
        <f t="shared" si="4"/>
        <v>876</v>
      </c>
      <c r="J13" s="48">
        <f t="shared" si="4"/>
        <v>962</v>
      </c>
      <c r="K13" s="48">
        <f t="shared" si="0"/>
        <v>86</v>
      </c>
      <c r="L13" s="49"/>
      <c r="M13" s="48">
        <f t="shared" ref="M13:N13" si="5">SUM(M4:M8,M12)</f>
        <v>506</v>
      </c>
      <c r="N13" s="48">
        <f t="shared" si="5"/>
        <v>1449</v>
      </c>
      <c r="O13" s="48">
        <f t="shared" si="1"/>
        <v>943</v>
      </c>
      <c r="P13" s="4"/>
    </row>
    <row r="14" spans="2:16" x14ac:dyDescent="0.25">
      <c r="B14" s="11" t="s">
        <v>69</v>
      </c>
      <c r="C14" s="50">
        <v>-94.125463529883277</v>
      </c>
      <c r="D14" s="50">
        <v>84.147117730128457</v>
      </c>
      <c r="E14" s="50">
        <v>-101.23108797954657</v>
      </c>
      <c r="F14" s="51">
        <v>14</v>
      </c>
      <c r="G14" s="51">
        <v>-454</v>
      </c>
      <c r="H14" s="51">
        <v>811</v>
      </c>
      <c r="I14" s="44">
        <v>-119</v>
      </c>
      <c r="J14" s="44">
        <v>-2029</v>
      </c>
      <c r="K14" s="51">
        <f t="shared" si="0"/>
        <v>-1910</v>
      </c>
      <c r="L14" s="49"/>
      <c r="M14" s="51">
        <v>-32</v>
      </c>
      <c r="N14" s="44">
        <v>-4980</v>
      </c>
      <c r="O14" s="51">
        <f t="shared" si="1"/>
        <v>-4948</v>
      </c>
      <c r="P14" s="19"/>
    </row>
    <row r="15" spans="2:16" x14ac:dyDescent="0.25">
      <c r="B15" s="11" t="s">
        <v>70</v>
      </c>
      <c r="C15" s="50">
        <v>50.718258292059382</v>
      </c>
      <c r="D15" s="50">
        <v>62.977060449999662</v>
      </c>
      <c r="E15" s="50">
        <v>75.537088250000323</v>
      </c>
      <c r="F15" s="51">
        <v>140.46049025315006</v>
      </c>
      <c r="G15" s="51">
        <v>246</v>
      </c>
      <c r="H15" s="51">
        <v>64</v>
      </c>
      <c r="I15" s="44">
        <v>-25</v>
      </c>
      <c r="J15" s="44">
        <v>-39</v>
      </c>
      <c r="K15" s="51">
        <f t="shared" si="0"/>
        <v>-14</v>
      </c>
      <c r="L15" s="49"/>
      <c r="M15" s="51">
        <v>55</v>
      </c>
      <c r="N15" s="44">
        <v>283</v>
      </c>
      <c r="O15" s="51">
        <f t="shared" si="1"/>
        <v>228</v>
      </c>
      <c r="P15" s="19"/>
    </row>
    <row r="16" spans="2:16" x14ac:dyDescent="0.25">
      <c r="B16" s="11" t="s">
        <v>71</v>
      </c>
      <c r="C16" s="50">
        <v>-8.2237827219789352</v>
      </c>
      <c r="D16" s="50">
        <v>39.088979237840363</v>
      </c>
      <c r="E16" s="50">
        <v>93.439336224535054</v>
      </c>
      <c r="F16" s="51">
        <v>-72.272592600692462</v>
      </c>
      <c r="G16" s="51">
        <f>-317-G31</f>
        <v>-269</v>
      </c>
      <c r="H16" s="51">
        <f>342-H31</f>
        <v>339</v>
      </c>
      <c r="I16" s="44">
        <v>51</v>
      </c>
      <c r="J16" s="44">
        <v>934</v>
      </c>
      <c r="K16" s="51">
        <f t="shared" si="0"/>
        <v>883</v>
      </c>
      <c r="L16" s="49"/>
      <c r="M16" s="51">
        <v>131</v>
      </c>
      <c r="N16" s="44">
        <v>-2755</v>
      </c>
      <c r="O16" s="51">
        <f t="shared" si="1"/>
        <v>-2886</v>
      </c>
      <c r="P16" s="19"/>
    </row>
    <row r="17" spans="2:16" x14ac:dyDescent="0.25">
      <c r="B17" s="14" t="s">
        <v>48</v>
      </c>
      <c r="C17" s="48">
        <f t="shared" ref="C17:H17" si="6">SUM(C13:C16)</f>
        <v>93.619012040197461</v>
      </c>
      <c r="D17" s="48">
        <f t="shared" si="6"/>
        <v>465.93421424223004</v>
      </c>
      <c r="E17" s="48">
        <f t="shared" si="6"/>
        <v>357.66648792889777</v>
      </c>
      <c r="F17" s="48">
        <f t="shared" si="6"/>
        <v>328.96800000000002</v>
      </c>
      <c r="G17" s="48">
        <f t="shared" si="6"/>
        <v>-90</v>
      </c>
      <c r="H17" s="48">
        <f t="shared" si="6"/>
        <v>1772</v>
      </c>
      <c r="I17" s="48">
        <f t="shared" ref="I17:J17" si="7">SUM(I13:I16)</f>
        <v>783</v>
      </c>
      <c r="J17" s="48">
        <f t="shared" si="7"/>
        <v>-172</v>
      </c>
      <c r="K17" s="48">
        <f t="shared" si="0"/>
        <v>-955</v>
      </c>
      <c r="L17" s="49"/>
      <c r="M17" s="48">
        <f t="shared" ref="M17:N17" si="8">SUM(M13:M16)</f>
        <v>660</v>
      </c>
      <c r="N17" s="48">
        <f t="shared" si="8"/>
        <v>-6003</v>
      </c>
      <c r="O17" s="48">
        <f t="shared" si="1"/>
        <v>-6663</v>
      </c>
      <c r="P17" s="19"/>
    </row>
    <row r="18" spans="2:16" x14ac:dyDescent="0.25">
      <c r="B18" s="11" t="s">
        <v>49</v>
      </c>
      <c r="C18" s="52">
        <v>-45.805712960197368</v>
      </c>
      <c r="D18" s="52">
        <v>-45.947109931561464</v>
      </c>
      <c r="E18" s="52">
        <v>-35.093000000000004</v>
      </c>
      <c r="F18" s="44">
        <v>-29.882000000000001</v>
      </c>
      <c r="G18" s="51">
        <f>-33-5-G33</f>
        <v>-32</v>
      </c>
      <c r="H18" s="51">
        <f>-47-4-H33</f>
        <v>-47</v>
      </c>
      <c r="I18" s="44">
        <v>-38</v>
      </c>
      <c r="J18" s="44">
        <v>-56</v>
      </c>
      <c r="K18" s="44">
        <f t="shared" si="0"/>
        <v>-18</v>
      </c>
      <c r="L18" s="4"/>
      <c r="M18" s="51">
        <v>-25</v>
      </c>
      <c r="N18" s="44">
        <v>-45</v>
      </c>
      <c r="O18" s="44">
        <f t="shared" si="1"/>
        <v>-20</v>
      </c>
      <c r="P18" s="19"/>
    </row>
    <row r="19" spans="2:16" x14ac:dyDescent="0.25">
      <c r="B19" s="14" t="s">
        <v>50</v>
      </c>
      <c r="C19" s="48">
        <f t="shared" ref="C19:H19" si="9">SUM(C17:C18)</f>
        <v>47.813299080000093</v>
      </c>
      <c r="D19" s="48">
        <f t="shared" si="9"/>
        <v>419.9871043106686</v>
      </c>
      <c r="E19" s="48">
        <f t="shared" si="9"/>
        <v>322.57348792889775</v>
      </c>
      <c r="F19" s="48">
        <f t="shared" si="9"/>
        <v>299.08600000000001</v>
      </c>
      <c r="G19" s="48">
        <f t="shared" si="9"/>
        <v>-122</v>
      </c>
      <c r="H19" s="48">
        <f t="shared" si="9"/>
        <v>1725</v>
      </c>
      <c r="I19" s="48">
        <f>SUM(I17:I18)</f>
        <v>745</v>
      </c>
      <c r="J19" s="48">
        <f>SUM(J17:J18)</f>
        <v>-228</v>
      </c>
      <c r="K19" s="48">
        <f t="shared" si="0"/>
        <v>-973</v>
      </c>
      <c r="L19" s="49"/>
      <c r="M19" s="48">
        <f t="shared" ref="M19" si="10">SUM(M17:M18)</f>
        <v>635</v>
      </c>
      <c r="N19" s="48">
        <f>SUM(N17:N18)</f>
        <v>-6048</v>
      </c>
      <c r="O19" s="48">
        <f t="shared" si="1"/>
        <v>-6683</v>
      </c>
      <c r="P19" s="19"/>
    </row>
    <row r="20" spans="2:16" x14ac:dyDescent="0.25">
      <c r="P20" s="19"/>
    </row>
    <row r="21" spans="2:16" x14ac:dyDescent="0.25">
      <c r="B21" s="18"/>
      <c r="C21" s="33"/>
      <c r="D21" s="53"/>
      <c r="E21" s="53"/>
      <c r="F21" s="53"/>
      <c r="G21" s="53"/>
      <c r="H21" s="53"/>
      <c r="I21" s="53"/>
      <c r="J21" s="53"/>
      <c r="K21" s="53"/>
      <c r="M21" s="53"/>
      <c r="N21" s="53"/>
      <c r="O21" s="53"/>
      <c r="P21" s="19"/>
    </row>
    <row r="22" spans="2:16" x14ac:dyDescent="0.25">
      <c r="B22" s="39" t="s">
        <v>72</v>
      </c>
      <c r="C22" s="40" t="s">
        <v>1</v>
      </c>
      <c r="D22" s="40" t="s">
        <v>1</v>
      </c>
      <c r="E22" s="40" t="s">
        <v>1</v>
      </c>
      <c r="F22" s="40" t="s">
        <v>1</v>
      </c>
      <c r="G22" s="40" t="s">
        <v>1</v>
      </c>
      <c r="H22" s="40" t="s">
        <v>1</v>
      </c>
      <c r="I22" s="40" t="s">
        <v>1</v>
      </c>
      <c r="J22" s="40" t="s">
        <v>1</v>
      </c>
      <c r="K22" s="6" t="str">
        <f>K2</f>
        <v>Delta</v>
      </c>
      <c r="L22" s="41"/>
      <c r="M22" s="6" t="s">
        <v>3</v>
      </c>
      <c r="N22" s="6" t="s">
        <v>3</v>
      </c>
      <c r="O22" s="6" t="s">
        <v>2</v>
      </c>
      <c r="P22" s="19"/>
    </row>
    <row r="23" spans="2:16" ht="15.75" thickBot="1" x14ac:dyDescent="0.3">
      <c r="B23" s="42" t="s">
        <v>4</v>
      </c>
      <c r="C23" s="43">
        <v>2014</v>
      </c>
      <c r="D23" s="43">
        <v>2015</v>
      </c>
      <c r="E23" s="43">
        <v>2016</v>
      </c>
      <c r="F23" s="43">
        <v>2017</v>
      </c>
      <c r="G23" s="43">
        <v>2018</v>
      </c>
      <c r="H23" s="43">
        <v>2019</v>
      </c>
      <c r="I23" s="9">
        <v>2020</v>
      </c>
      <c r="J23" s="9">
        <v>2021</v>
      </c>
      <c r="K23" s="9" t="str">
        <f>K3</f>
        <v>20-21</v>
      </c>
      <c r="L23" s="41"/>
      <c r="M23" s="9">
        <v>2021</v>
      </c>
      <c r="N23" s="9">
        <v>2022</v>
      </c>
      <c r="O23" s="10" t="s">
        <v>6</v>
      </c>
      <c r="P23" s="19"/>
    </row>
    <row r="24" spans="2:16" x14ac:dyDescent="0.25">
      <c r="B24" s="18" t="s">
        <v>7</v>
      </c>
      <c r="C24" s="45" t="s">
        <v>15</v>
      </c>
      <c r="D24" s="45" t="s">
        <v>15</v>
      </c>
      <c r="E24" s="45" t="s">
        <v>15</v>
      </c>
      <c r="F24" s="45" t="s">
        <v>15</v>
      </c>
      <c r="G24" s="51">
        <v>16</v>
      </c>
      <c r="H24" s="51">
        <v>22</v>
      </c>
      <c r="I24" s="44">
        <v>26</v>
      </c>
      <c r="J24" s="44">
        <v>180</v>
      </c>
      <c r="K24" s="51">
        <f t="shared" ref="K24:K34" si="11">J24-I24</f>
        <v>154</v>
      </c>
      <c r="L24" s="49"/>
      <c r="M24" s="51">
        <v>55</v>
      </c>
      <c r="N24" s="51">
        <v>76</v>
      </c>
      <c r="O24" s="51">
        <f t="shared" ref="O24:O34" si="12">N24-M24</f>
        <v>21</v>
      </c>
      <c r="P24" s="19"/>
    </row>
    <row r="25" spans="2:16" x14ac:dyDescent="0.25">
      <c r="B25" s="18" t="s">
        <v>8</v>
      </c>
      <c r="C25" s="45" t="s">
        <v>15</v>
      </c>
      <c r="D25" s="45" t="s">
        <v>15</v>
      </c>
      <c r="E25" s="45" t="s">
        <v>15</v>
      </c>
      <c r="F25" s="45" t="s">
        <v>15</v>
      </c>
      <c r="G25" s="51">
        <v>-5</v>
      </c>
      <c r="H25" s="51">
        <v>-3</v>
      </c>
      <c r="I25" s="44">
        <v>-5</v>
      </c>
      <c r="J25" s="44">
        <v>-75</v>
      </c>
      <c r="K25" s="51">
        <f t="shared" si="11"/>
        <v>-70</v>
      </c>
      <c r="L25" s="49"/>
      <c r="M25" s="51">
        <v>-37</v>
      </c>
      <c r="N25" s="51">
        <v>-15</v>
      </c>
      <c r="O25" s="51">
        <f t="shared" si="12"/>
        <v>22</v>
      </c>
      <c r="P25" s="19"/>
    </row>
    <row r="26" spans="2:16" x14ac:dyDescent="0.25">
      <c r="B26" s="14" t="s">
        <v>73</v>
      </c>
      <c r="C26" s="54" t="s">
        <v>15</v>
      </c>
      <c r="D26" s="54" t="s">
        <v>15</v>
      </c>
      <c r="E26" s="54" t="s">
        <v>15</v>
      </c>
      <c r="F26" s="54" t="s">
        <v>15</v>
      </c>
      <c r="G26" s="48">
        <f t="shared" ref="G26:J26" si="13">SUM(G24:G25)</f>
        <v>11</v>
      </c>
      <c r="H26" s="48">
        <f t="shared" si="13"/>
        <v>19</v>
      </c>
      <c r="I26" s="48">
        <f t="shared" si="13"/>
        <v>21</v>
      </c>
      <c r="J26" s="48">
        <f t="shared" si="13"/>
        <v>105</v>
      </c>
      <c r="K26" s="48">
        <f t="shared" si="11"/>
        <v>84</v>
      </c>
      <c r="L26" s="49"/>
      <c r="M26" s="48">
        <f t="shared" ref="M26:N26" si="14">SUM(M24:M25)</f>
        <v>18</v>
      </c>
      <c r="N26" s="48">
        <f t="shared" si="14"/>
        <v>61</v>
      </c>
      <c r="O26" s="48">
        <f t="shared" si="12"/>
        <v>43</v>
      </c>
      <c r="P26" s="4"/>
    </row>
    <row r="27" spans="2:16" x14ac:dyDescent="0.25">
      <c r="B27" t="s">
        <v>74</v>
      </c>
      <c r="C27" s="45" t="s">
        <v>15</v>
      </c>
      <c r="D27" s="45" t="s">
        <v>15</v>
      </c>
      <c r="E27" s="45" t="s">
        <v>15</v>
      </c>
      <c r="F27" s="45" t="s">
        <v>15</v>
      </c>
      <c r="G27" s="51">
        <v>-8</v>
      </c>
      <c r="H27" s="51">
        <v>-18</v>
      </c>
      <c r="I27" s="44">
        <v>-16</v>
      </c>
      <c r="J27" s="44">
        <v>-23</v>
      </c>
      <c r="K27" s="51">
        <f t="shared" si="11"/>
        <v>-7</v>
      </c>
      <c r="L27" s="49"/>
      <c r="M27" s="51">
        <v>-10</v>
      </c>
      <c r="N27" s="44">
        <v>-29</v>
      </c>
      <c r="O27" s="51">
        <f t="shared" si="12"/>
        <v>-19</v>
      </c>
      <c r="P27" s="27"/>
    </row>
    <row r="28" spans="2:16" x14ac:dyDescent="0.25">
      <c r="B28" t="s">
        <v>66</v>
      </c>
      <c r="C28" s="45" t="s">
        <v>15</v>
      </c>
      <c r="D28" s="45" t="s">
        <v>15</v>
      </c>
      <c r="E28" s="45" t="s">
        <v>15</v>
      </c>
      <c r="F28" s="45" t="s">
        <v>15</v>
      </c>
      <c r="G28" s="51">
        <v>0</v>
      </c>
      <c r="H28" s="51">
        <v>0</v>
      </c>
      <c r="I28" s="44">
        <v>-2</v>
      </c>
      <c r="J28" s="44">
        <v>-2</v>
      </c>
      <c r="K28" s="51">
        <f t="shared" si="11"/>
        <v>0</v>
      </c>
      <c r="L28" s="49"/>
      <c r="M28" s="51">
        <v>-1</v>
      </c>
      <c r="N28" s="44">
        <v>-3</v>
      </c>
      <c r="O28" s="51">
        <f t="shared" si="12"/>
        <v>-2</v>
      </c>
      <c r="P28" s="19"/>
    </row>
    <row r="29" spans="2:16" x14ac:dyDescent="0.25">
      <c r="B29" t="s">
        <v>37</v>
      </c>
      <c r="C29" s="45" t="s">
        <v>15</v>
      </c>
      <c r="D29" s="45" t="s">
        <v>15</v>
      </c>
      <c r="E29" s="45" t="s">
        <v>15</v>
      </c>
      <c r="F29" s="45" t="s">
        <v>15</v>
      </c>
      <c r="G29" s="51">
        <v>0</v>
      </c>
      <c r="H29" s="51">
        <v>0</v>
      </c>
      <c r="I29" s="44">
        <v>0</v>
      </c>
      <c r="J29" s="44">
        <v>-45</v>
      </c>
      <c r="K29" s="51">
        <f t="shared" si="11"/>
        <v>-45</v>
      </c>
      <c r="L29" s="49"/>
      <c r="M29" s="51">
        <v>-2</v>
      </c>
      <c r="N29" s="44">
        <v>6</v>
      </c>
      <c r="O29" s="51">
        <f t="shared" si="12"/>
        <v>8</v>
      </c>
      <c r="P29" s="19"/>
    </row>
    <row r="30" spans="2:16" x14ac:dyDescent="0.25">
      <c r="B30" s="14" t="s">
        <v>27</v>
      </c>
      <c r="C30" s="54" t="s">
        <v>15</v>
      </c>
      <c r="D30" s="54" t="s">
        <v>15</v>
      </c>
      <c r="E30" s="54" t="s">
        <v>15</v>
      </c>
      <c r="F30" s="54" t="s">
        <v>15</v>
      </c>
      <c r="G30" s="48">
        <f t="shared" ref="G30:J30" si="15">SUM(G26:G29)</f>
        <v>3</v>
      </c>
      <c r="H30" s="48">
        <f t="shared" si="15"/>
        <v>1</v>
      </c>
      <c r="I30" s="48">
        <f t="shared" si="15"/>
        <v>3</v>
      </c>
      <c r="J30" s="48">
        <f t="shared" si="15"/>
        <v>35</v>
      </c>
      <c r="K30" s="48">
        <f t="shared" si="11"/>
        <v>32</v>
      </c>
      <c r="L30" s="49"/>
      <c r="M30" s="48">
        <f>SUM(M26:M29)</f>
        <v>5</v>
      </c>
      <c r="N30" s="48">
        <f>SUM(N26:N29)</f>
        <v>35</v>
      </c>
      <c r="O30" s="48">
        <f t="shared" si="12"/>
        <v>30</v>
      </c>
      <c r="P30" s="19"/>
    </row>
    <row r="31" spans="2:16" x14ac:dyDescent="0.25">
      <c r="B31" s="11" t="s">
        <v>71</v>
      </c>
      <c r="C31" s="45" t="s">
        <v>15</v>
      </c>
      <c r="D31" s="45" t="s">
        <v>15</v>
      </c>
      <c r="E31" s="45" t="s">
        <v>15</v>
      </c>
      <c r="F31" s="45" t="s">
        <v>15</v>
      </c>
      <c r="G31" s="44">
        <f>G32-G30</f>
        <v>-48</v>
      </c>
      <c r="H31" s="44">
        <f>H32-H30</f>
        <v>3</v>
      </c>
      <c r="I31" s="44">
        <f>I32-I30</f>
        <v>-5</v>
      </c>
      <c r="J31" s="44">
        <f>J32-J30</f>
        <v>-92</v>
      </c>
      <c r="K31" s="51">
        <f t="shared" si="11"/>
        <v>-87</v>
      </c>
      <c r="L31" s="49"/>
      <c r="M31" s="51">
        <v>-24</v>
      </c>
      <c r="N31" s="44">
        <v>-78</v>
      </c>
      <c r="O31" s="51">
        <f t="shared" si="12"/>
        <v>-54</v>
      </c>
      <c r="P31" s="19"/>
    </row>
    <row r="32" spans="2:16" x14ac:dyDescent="0.25">
      <c r="B32" s="14" t="s">
        <v>48</v>
      </c>
      <c r="C32" s="54" t="s">
        <v>15</v>
      </c>
      <c r="D32" s="54" t="s">
        <v>15</v>
      </c>
      <c r="E32" s="54" t="s">
        <v>15</v>
      </c>
      <c r="F32" s="54" t="s">
        <v>15</v>
      </c>
      <c r="G32" s="48">
        <v>-45</v>
      </c>
      <c r="H32" s="48">
        <v>4</v>
      </c>
      <c r="I32" s="48">
        <v>-2</v>
      </c>
      <c r="J32" s="48">
        <v>-57</v>
      </c>
      <c r="K32" s="48">
        <f t="shared" si="11"/>
        <v>-55</v>
      </c>
      <c r="L32" s="49"/>
      <c r="M32" s="48">
        <f t="shared" ref="M32" si="16">SUM(M30:M31)</f>
        <v>-19</v>
      </c>
      <c r="N32" s="48">
        <f t="shared" ref="N32" si="17">SUM(N30:N31)</f>
        <v>-43</v>
      </c>
      <c r="O32" s="48">
        <f t="shared" si="12"/>
        <v>-24</v>
      </c>
      <c r="P32" s="19"/>
    </row>
    <row r="33" spans="2:16" x14ac:dyDescent="0.25">
      <c r="B33" s="11" t="s">
        <v>75</v>
      </c>
      <c r="C33" s="45" t="s">
        <v>15</v>
      </c>
      <c r="D33" s="45" t="s">
        <v>15</v>
      </c>
      <c r="E33" s="45" t="s">
        <v>15</v>
      </c>
      <c r="F33" s="45" t="s">
        <v>15</v>
      </c>
      <c r="G33" s="51">
        <v>-6</v>
      </c>
      <c r="H33" s="51">
        <v>-4</v>
      </c>
      <c r="I33" s="44">
        <v>-1</v>
      </c>
      <c r="J33" s="44">
        <v>-28</v>
      </c>
      <c r="K33" s="51">
        <f t="shared" si="11"/>
        <v>-27</v>
      </c>
      <c r="L33" s="49"/>
      <c r="M33" s="51">
        <v>-2</v>
      </c>
      <c r="N33" s="44">
        <v>-26</v>
      </c>
      <c r="O33" s="51">
        <f t="shared" si="12"/>
        <v>-24</v>
      </c>
      <c r="P33" s="19"/>
    </row>
    <row r="34" spans="2:16" x14ac:dyDescent="0.25">
      <c r="B34" s="14" t="s">
        <v>50</v>
      </c>
      <c r="C34" s="54" t="s">
        <v>15</v>
      </c>
      <c r="D34" s="54" t="s">
        <v>15</v>
      </c>
      <c r="E34" s="54" t="s">
        <v>15</v>
      </c>
      <c r="F34" s="54" t="s">
        <v>15</v>
      </c>
      <c r="G34" s="48">
        <f t="shared" ref="G34:J34" si="18">SUM(G32:G33)</f>
        <v>-51</v>
      </c>
      <c r="H34" s="48">
        <f t="shared" si="18"/>
        <v>0</v>
      </c>
      <c r="I34" s="48">
        <f t="shared" si="18"/>
        <v>-3</v>
      </c>
      <c r="J34" s="48">
        <f t="shared" si="18"/>
        <v>-85</v>
      </c>
      <c r="K34" s="48">
        <f t="shared" si="11"/>
        <v>-82</v>
      </c>
      <c r="L34" s="49"/>
      <c r="M34" s="48">
        <f t="shared" ref="M34:N34" si="19">SUM(M32:M33)</f>
        <v>-21</v>
      </c>
      <c r="N34" s="48">
        <f t="shared" si="19"/>
        <v>-69</v>
      </c>
      <c r="O34" s="48">
        <f t="shared" si="12"/>
        <v>-48</v>
      </c>
      <c r="P34" s="19"/>
    </row>
    <row r="35" spans="2:16" x14ac:dyDescent="0.25">
      <c r="B35" s="18"/>
      <c r="C35" s="33"/>
      <c r="D35" s="53"/>
      <c r="E35" s="53"/>
      <c r="F35" s="53"/>
      <c r="G35" s="53"/>
      <c r="H35" s="53"/>
      <c r="I35" s="53"/>
      <c r="J35" s="53"/>
      <c r="K35" s="53"/>
      <c r="M35" s="53"/>
      <c r="N35" s="53"/>
      <c r="O35" s="53"/>
      <c r="P35" s="19"/>
    </row>
    <row r="36" spans="2:16" x14ac:dyDescent="0.25">
      <c r="B36" s="18"/>
      <c r="C36" s="33"/>
      <c r="D36" s="53"/>
      <c r="E36" s="53"/>
      <c r="F36" s="53"/>
      <c r="G36" s="53"/>
      <c r="H36" s="53"/>
      <c r="I36" s="53"/>
      <c r="J36" s="53"/>
      <c r="K36" s="53"/>
      <c r="M36" s="53"/>
      <c r="N36" s="53"/>
      <c r="O36" s="53"/>
      <c r="P36" s="19"/>
    </row>
    <row r="37" spans="2:16" x14ac:dyDescent="0.25">
      <c r="B37" s="39" t="s">
        <v>76</v>
      </c>
      <c r="C37" s="40" t="s">
        <v>1</v>
      </c>
      <c r="D37" s="40" t="s">
        <v>1</v>
      </c>
      <c r="E37" s="40" t="s">
        <v>1</v>
      </c>
      <c r="F37" s="40" t="s">
        <v>1</v>
      </c>
      <c r="G37" s="40" t="s">
        <v>1</v>
      </c>
      <c r="H37" s="40" t="s">
        <v>1</v>
      </c>
      <c r="I37" s="40" t="s">
        <v>1</v>
      </c>
      <c r="J37" s="40" t="s">
        <v>1</v>
      </c>
      <c r="K37" s="6" t="str">
        <f>K2</f>
        <v>Delta</v>
      </c>
      <c r="L37" s="41"/>
      <c r="M37" s="6" t="s">
        <v>3</v>
      </c>
      <c r="N37" s="6" t="s">
        <v>3</v>
      </c>
      <c r="O37" s="6" t="s">
        <v>2</v>
      </c>
      <c r="P37" s="19"/>
    </row>
    <row r="38" spans="2:16" ht="15.75" thickBot="1" x14ac:dyDescent="0.3">
      <c r="B38" s="42" t="s">
        <v>77</v>
      </c>
      <c r="C38" s="43">
        <v>2014</v>
      </c>
      <c r="D38" s="43">
        <v>2015</v>
      </c>
      <c r="E38" s="43">
        <v>2016</v>
      </c>
      <c r="F38" s="43">
        <v>2017</v>
      </c>
      <c r="G38" s="43">
        <v>2018</v>
      </c>
      <c r="H38" s="43">
        <v>2019</v>
      </c>
      <c r="I38" s="9">
        <v>2020</v>
      </c>
      <c r="J38" s="9">
        <v>2021</v>
      </c>
      <c r="K38" s="10" t="str">
        <f>K3</f>
        <v>20-21</v>
      </c>
      <c r="L38" s="41"/>
      <c r="M38" s="9">
        <v>2021</v>
      </c>
      <c r="N38" s="9">
        <v>2022</v>
      </c>
      <c r="O38" s="10" t="s">
        <v>6</v>
      </c>
      <c r="P38" s="19"/>
    </row>
    <row r="39" spans="2:16" x14ac:dyDescent="0.25">
      <c r="B39" s="14" t="s">
        <v>78</v>
      </c>
      <c r="C39" s="55">
        <v>37.245713618483506</v>
      </c>
      <c r="D39" s="55">
        <v>39.558602184691004</v>
      </c>
      <c r="E39" s="55">
        <v>32.903756477842002</v>
      </c>
      <c r="F39" s="55">
        <v>35.228710832170989</v>
      </c>
      <c r="G39" s="55">
        <v>41.1</v>
      </c>
      <c r="H39" s="55">
        <v>36.132996654258996</v>
      </c>
      <c r="I39" s="55">
        <f t="shared" ref="I39:J39" si="20">SUM(I40,I41)</f>
        <v>34.025807318312005</v>
      </c>
      <c r="J39" s="55">
        <f t="shared" si="20"/>
        <v>35.812751122135055</v>
      </c>
      <c r="K39" s="55">
        <f t="shared" ref="K39:K54" si="21">J39-I39</f>
        <v>1.7869438038230498</v>
      </c>
      <c r="L39" s="31"/>
      <c r="M39" s="55">
        <f t="shared" ref="M39:N39" si="22">SUM(M40,M41)</f>
        <v>16.84222656639604</v>
      </c>
      <c r="N39" s="55">
        <f t="shared" si="22"/>
        <v>19.492474374734002</v>
      </c>
      <c r="O39" s="55">
        <f t="shared" ref="O39:O51" si="23">N39-M39</f>
        <v>2.6502478083379621</v>
      </c>
      <c r="P39" s="56"/>
    </row>
    <row r="40" spans="2:16" x14ac:dyDescent="0.25">
      <c r="B40" s="34" t="s">
        <v>79</v>
      </c>
      <c r="C40" s="57">
        <v>28.962274929221586</v>
      </c>
      <c r="D40" s="57">
        <v>27.349812704372003</v>
      </c>
      <c r="E40" s="57">
        <v>20.874515424179002</v>
      </c>
      <c r="F40" s="57">
        <v>24.291999056274001</v>
      </c>
      <c r="G40" s="57">
        <v>37.1</v>
      </c>
      <c r="H40" s="57">
        <v>32.377175923458999</v>
      </c>
      <c r="I40" s="57">
        <v>25.880518444320998</v>
      </c>
      <c r="J40" s="57">
        <v>23.318894698452002</v>
      </c>
      <c r="K40" s="57">
        <f t="shared" si="21"/>
        <v>-2.5616237458689959</v>
      </c>
      <c r="L40" s="31"/>
      <c r="M40" s="57">
        <v>11.621140338520847</v>
      </c>
      <c r="N40" s="57">
        <v>13.680086684479999</v>
      </c>
      <c r="O40" s="57">
        <f t="shared" si="23"/>
        <v>2.0589463459591517</v>
      </c>
      <c r="P40" s="56"/>
    </row>
    <row r="41" spans="2:16" x14ac:dyDescent="0.25">
      <c r="B41" s="34" t="s">
        <v>80</v>
      </c>
      <c r="C41" s="57">
        <v>8.2834386892619207</v>
      </c>
      <c r="D41" s="57">
        <v>12.208789480319004</v>
      </c>
      <c r="E41" s="57">
        <v>12.029241053663002</v>
      </c>
      <c r="F41" s="57">
        <v>10.936711775896992</v>
      </c>
      <c r="G41" s="57">
        <v>4</v>
      </c>
      <c r="H41" s="57">
        <v>3.7558207307999991</v>
      </c>
      <c r="I41" s="57">
        <f>SUM(I42:I43)</f>
        <v>8.1452888739910048</v>
      </c>
      <c r="J41" s="57">
        <f>SUM(J42:J43)</f>
        <v>12.493856423683049</v>
      </c>
      <c r="K41" s="57">
        <f t="shared" si="21"/>
        <v>4.348567549692044</v>
      </c>
      <c r="L41" s="31"/>
      <c r="M41" s="57">
        <f t="shared" ref="M41:N41" si="24">SUM(M42:M43)</f>
        <v>5.2210862278751922</v>
      </c>
      <c r="N41" s="57">
        <f t="shared" si="24"/>
        <v>5.8123876902540008</v>
      </c>
      <c r="O41" s="57">
        <f t="shared" si="23"/>
        <v>0.59130146237880865</v>
      </c>
      <c r="P41" s="56"/>
    </row>
    <row r="42" spans="2:16" x14ac:dyDescent="0.25">
      <c r="B42" s="58" t="s">
        <v>81</v>
      </c>
      <c r="C42" s="57" t="s">
        <v>82</v>
      </c>
      <c r="D42" s="57">
        <v>8.9063157106120006</v>
      </c>
      <c r="E42" s="57">
        <v>7.1950076682160011</v>
      </c>
      <c r="F42" s="57">
        <v>3.3364558057319993</v>
      </c>
      <c r="G42" s="57">
        <v>2.9</v>
      </c>
      <c r="H42" s="57">
        <v>3.5907539999558415</v>
      </c>
      <c r="I42" s="57">
        <v>6.3704093762012066</v>
      </c>
      <c r="J42" s="57">
        <v>9.269036355767323</v>
      </c>
      <c r="K42" s="57">
        <f t="shared" si="21"/>
        <v>2.8986269795661164</v>
      </c>
      <c r="L42" s="31"/>
      <c r="M42" s="57">
        <v>3.872468234118831</v>
      </c>
      <c r="N42" s="57">
        <v>5.0192591494337107</v>
      </c>
      <c r="O42" s="57">
        <f t="shared" si="23"/>
        <v>1.1467909153148796</v>
      </c>
      <c r="P42" s="19"/>
    </row>
    <row r="43" spans="2:16" x14ac:dyDescent="0.25">
      <c r="B43" s="58" t="s">
        <v>83</v>
      </c>
      <c r="C43" s="57" t="s">
        <v>82</v>
      </c>
      <c r="D43" s="57">
        <v>3.3024737697070026</v>
      </c>
      <c r="E43" s="57">
        <v>4.8342333854470008</v>
      </c>
      <c r="F43" s="57">
        <v>7.6002559701649934</v>
      </c>
      <c r="G43" s="57">
        <v>1.1000000000000001</v>
      </c>
      <c r="H43" s="57">
        <v>0.16506673084415777</v>
      </c>
      <c r="I43" s="57">
        <v>1.7748794977897988</v>
      </c>
      <c r="J43" s="57">
        <v>3.2248200679157262</v>
      </c>
      <c r="K43" s="57">
        <f t="shared" si="21"/>
        <v>1.4499405701259274</v>
      </c>
      <c r="L43" s="31"/>
      <c r="M43" s="57">
        <v>1.3486179937563607</v>
      </c>
      <c r="N43" s="57">
        <v>0.79312854082028983</v>
      </c>
      <c r="O43" s="57">
        <f t="shared" si="23"/>
        <v>-0.55548945293607088</v>
      </c>
      <c r="P43" s="19"/>
    </row>
    <row r="44" spans="2:16" x14ac:dyDescent="0.25">
      <c r="B44" s="14" t="s">
        <v>84</v>
      </c>
      <c r="C44" s="59">
        <v>3.9133322742656317E-2</v>
      </c>
      <c r="D44" s="59">
        <v>4.9333873492460566E-2</v>
      </c>
      <c r="E44" s="59">
        <v>5.4737501573004659E-2</v>
      </c>
      <c r="F44" s="59">
        <v>3.9050053073616864E-2</v>
      </c>
      <c r="G44" s="59">
        <v>5.9027842361998019E-2</v>
      </c>
      <c r="H44" s="59">
        <v>6.0020658875154141E-2</v>
      </c>
      <c r="I44" s="59">
        <v>8.4533157533862424E-2</v>
      </c>
      <c r="J44" s="59">
        <v>5.77895474971293E-2</v>
      </c>
      <c r="K44" s="59">
        <f t="shared" si="21"/>
        <v>-2.6743610036733124E-2</v>
      </c>
      <c r="L44" s="31"/>
      <c r="M44" s="59">
        <v>8.1236252838266007E-2</v>
      </c>
      <c r="N44" s="59">
        <v>6.1987636775231586E-2</v>
      </c>
      <c r="O44" s="59">
        <f t="shared" si="23"/>
        <v>-1.9248616063034421E-2</v>
      </c>
      <c r="P44" s="19"/>
    </row>
    <row r="45" spans="2:16" x14ac:dyDescent="0.25">
      <c r="B45" s="34" t="s">
        <v>85</v>
      </c>
      <c r="C45" s="60">
        <v>4.9000000000000002E-2</v>
      </c>
      <c r="D45" s="60">
        <v>5.2999999999999999E-2</v>
      </c>
      <c r="E45" s="60">
        <v>6.828999471259696E-2</v>
      </c>
      <c r="F45" s="60">
        <v>6.4115195796117422E-2</v>
      </c>
      <c r="G45" s="60">
        <v>6.0376249903696826E-2</v>
      </c>
      <c r="H45" s="60">
        <v>5.772503441450276E-2</v>
      </c>
      <c r="I45" s="60">
        <v>6.9048880775099172E-2</v>
      </c>
      <c r="J45" s="60">
        <v>7.7797342225877017E-2</v>
      </c>
      <c r="K45" s="60">
        <f t="shared" si="21"/>
        <v>8.7484614507778447E-3</v>
      </c>
      <c r="L45" s="31"/>
      <c r="M45" s="60">
        <v>8.2725121072728405E-2</v>
      </c>
      <c r="N45" s="60">
        <v>7.0199569865786918E-2</v>
      </c>
      <c r="O45" s="60">
        <f t="shared" si="23"/>
        <v>-1.2525551206941488E-2</v>
      </c>
      <c r="P45" s="19"/>
    </row>
    <row r="46" spans="2:16" x14ac:dyDescent="0.25">
      <c r="B46" s="34" t="s">
        <v>86</v>
      </c>
      <c r="C46" s="60">
        <v>1.5956052107020148E-2</v>
      </c>
      <c r="D46" s="60">
        <v>3.4782791462702335E-2</v>
      </c>
      <c r="E46" s="60">
        <v>6.1844693546392118E-2</v>
      </c>
      <c r="F46" s="60">
        <v>3.4665760081680916E-2</v>
      </c>
      <c r="G46" s="60">
        <v>3.9523182832020894E-2</v>
      </c>
      <c r="H46" s="60">
        <v>6.5470543587143937E-2</v>
      </c>
      <c r="I46" s="60">
        <v>0.12871665987550968</v>
      </c>
      <c r="J46" s="60">
        <v>2.2358776611433869E-2</v>
      </c>
      <c r="K46" s="60">
        <f t="shared" si="21"/>
        <v>-0.1063578832640758</v>
      </c>
      <c r="L46" s="31"/>
      <c r="M46" s="60">
        <v>7.9494924383720605E-2</v>
      </c>
      <c r="N46" s="60">
        <v>4.2693691471743733E-2</v>
      </c>
      <c r="O46" s="60">
        <f t="shared" si="23"/>
        <v>-3.6801232911976872E-2</v>
      </c>
      <c r="P46" s="19"/>
    </row>
    <row r="47" spans="2:16" x14ac:dyDescent="0.25">
      <c r="B47" s="58" t="s">
        <v>81</v>
      </c>
      <c r="C47" s="60" t="s">
        <v>82</v>
      </c>
      <c r="D47" s="60">
        <v>-2.6981660315782374E-2</v>
      </c>
      <c r="E47" s="60">
        <v>-7.0000000000000001E-3</v>
      </c>
      <c r="F47" s="60">
        <v>1.5093774718429062E-2</v>
      </c>
      <c r="G47" s="60">
        <v>3.1112406761257396E-2</v>
      </c>
      <c r="H47" s="60">
        <v>5.5955058949575705E-2</v>
      </c>
      <c r="I47" s="60">
        <v>9.6848909910970699E-2</v>
      </c>
      <c r="J47" s="60">
        <v>3.5827192967736311E-3</v>
      </c>
      <c r="K47" s="60">
        <f t="shared" si="21"/>
        <v>-9.3266190614197067E-2</v>
      </c>
      <c r="L47" s="31"/>
      <c r="M47" s="60">
        <v>3.5430158635091101E-2</v>
      </c>
      <c r="N47" s="60">
        <v>4.8962259002783982E-2</v>
      </c>
      <c r="O47" s="60">
        <f t="shared" si="23"/>
        <v>1.3532100367692881E-2</v>
      </c>
      <c r="P47" s="19"/>
    </row>
    <row r="48" spans="2:16" x14ac:dyDescent="0.25">
      <c r="B48" s="58" t="s">
        <v>83</v>
      </c>
      <c r="C48" s="60" t="s">
        <v>82</v>
      </c>
      <c r="D48" s="60">
        <v>0.17530217323365427</v>
      </c>
      <c r="E48" s="60">
        <v>0.15355213882183802</v>
      </c>
      <c r="F48" s="60">
        <v>4.0959191354374008E-2</v>
      </c>
      <c r="G48" s="60">
        <v>6.5729377574179806E-2</v>
      </c>
      <c r="H48" s="60" t="s">
        <v>82</v>
      </c>
      <c r="I48" s="60">
        <v>0.22364562460322399</v>
      </c>
      <c r="J48" s="60">
        <v>7.8918090897997353E-2</v>
      </c>
      <c r="K48" s="60">
        <f t="shared" si="21"/>
        <v>-0.14472753370522662</v>
      </c>
      <c r="L48" s="31"/>
      <c r="M48" s="60">
        <v>0.1893901507771025</v>
      </c>
      <c r="N48" s="60">
        <v>-1.802123536548517E-2</v>
      </c>
      <c r="O48" s="60">
        <f t="shared" si="23"/>
        <v>-0.20741138614258767</v>
      </c>
      <c r="P48" s="19"/>
    </row>
    <row r="49" spans="2:16" x14ac:dyDescent="0.25">
      <c r="B49" s="61" t="s">
        <v>37</v>
      </c>
      <c r="C49" s="62"/>
      <c r="D49" s="62"/>
      <c r="E49" s="62"/>
      <c r="F49" s="62"/>
      <c r="G49" s="62"/>
      <c r="H49" s="62"/>
      <c r="I49" s="62"/>
      <c r="J49" s="62"/>
      <c r="K49" s="62"/>
      <c r="L49" s="31"/>
      <c r="M49" s="62"/>
      <c r="N49" s="62"/>
      <c r="O49" s="62"/>
      <c r="P49" s="19"/>
    </row>
    <row r="50" spans="2:16" x14ac:dyDescent="0.25">
      <c r="B50" s="63" t="s">
        <v>87</v>
      </c>
      <c r="C50" s="57">
        <v>8.8264359999999993</v>
      </c>
      <c r="D50" s="57">
        <v>8.9264510000000001</v>
      </c>
      <c r="E50" s="57">
        <v>8.9866869999999999</v>
      </c>
      <c r="F50" s="57">
        <v>9.1999999999999993</v>
      </c>
      <c r="G50" s="57">
        <v>9.554451000000002</v>
      </c>
      <c r="H50" s="57">
        <v>9.9399669999999993</v>
      </c>
      <c r="I50" s="57">
        <v>10.1</v>
      </c>
      <c r="J50" s="57">
        <v>10.331613000000001</v>
      </c>
      <c r="K50" s="57">
        <f t="shared" si="21"/>
        <v>0.23161300000000118</v>
      </c>
      <c r="L50" s="31"/>
      <c r="M50" s="57">
        <v>10.197706999999999</v>
      </c>
      <c r="N50" s="57">
        <v>10.432076</v>
      </c>
      <c r="O50" s="57">
        <f t="shared" si="23"/>
        <v>0.23436900000000094</v>
      </c>
      <c r="P50" s="19"/>
    </row>
    <row r="51" spans="2:16" x14ac:dyDescent="0.25">
      <c r="B51" s="18" t="s">
        <v>88</v>
      </c>
      <c r="C51" s="60">
        <v>8.9999999999999993E-3</v>
      </c>
      <c r="D51" s="60">
        <v>0.03</v>
      </c>
      <c r="E51" s="60">
        <v>2.9000000000000001E-2</v>
      </c>
      <c r="F51" s="60">
        <v>1.2E-2</v>
      </c>
      <c r="G51" s="60">
        <v>6.0205476142579789E-3</v>
      </c>
      <c r="H51" s="60">
        <v>3.6101046262642012E-4</v>
      </c>
      <c r="I51" s="60">
        <v>6.7619679399469291E-5</v>
      </c>
      <c r="J51" s="60">
        <v>1.6990459527584027E-3</v>
      </c>
      <c r="K51" s="60">
        <f t="shared" si="21"/>
        <v>1.6314262733589334E-3</v>
      </c>
      <c r="L51" s="31"/>
      <c r="M51" s="60">
        <v>6.8464126502466415E-4</v>
      </c>
      <c r="N51" s="60">
        <v>6.1831770660557533E-4</v>
      </c>
      <c r="O51" s="60">
        <f t="shared" si="23"/>
        <v>-6.6323558419088824E-5</v>
      </c>
      <c r="P51" s="19"/>
    </row>
    <row r="52" spans="2:16" x14ac:dyDescent="0.25">
      <c r="B52" s="61" t="s">
        <v>89</v>
      </c>
      <c r="C52" s="62"/>
      <c r="D52" s="62"/>
      <c r="E52" s="62"/>
      <c r="F52" s="62"/>
      <c r="G52" s="62"/>
      <c r="H52" s="62"/>
      <c r="I52" s="62"/>
      <c r="J52" s="62"/>
      <c r="K52" s="62"/>
      <c r="L52" s="31"/>
      <c r="M52" s="55"/>
      <c r="N52" s="55"/>
      <c r="O52" s="55"/>
    </row>
    <row r="53" spans="2:16" x14ac:dyDescent="0.25">
      <c r="B53" t="s">
        <v>90</v>
      </c>
      <c r="C53" s="45" t="s">
        <v>15</v>
      </c>
      <c r="D53" s="45" t="s">
        <v>15</v>
      </c>
      <c r="E53" s="45" t="s">
        <v>15</v>
      </c>
      <c r="F53" s="64">
        <v>9.1999999999999993</v>
      </c>
      <c r="G53" s="64">
        <v>9.1999999999999993</v>
      </c>
      <c r="H53" s="64">
        <v>9.1999999999999993</v>
      </c>
      <c r="I53" s="64">
        <v>9.1999999999999993</v>
      </c>
      <c r="J53" s="64">
        <v>22.608579999999996</v>
      </c>
      <c r="K53" s="57">
        <f t="shared" si="21"/>
        <v>13.408579999999997</v>
      </c>
      <c r="M53" s="57">
        <v>12.5153</v>
      </c>
      <c r="N53" s="57">
        <v>22.608579999999996</v>
      </c>
      <c r="O53" s="57">
        <f t="shared" ref="O53:O54" si="25">N53-M53</f>
        <v>10.093279999999996</v>
      </c>
    </row>
    <row r="54" spans="2:16" x14ac:dyDescent="0.25">
      <c r="B54" t="s">
        <v>91</v>
      </c>
      <c r="C54" s="45" t="s">
        <v>15</v>
      </c>
      <c r="D54" s="45" t="s">
        <v>15</v>
      </c>
      <c r="E54" s="45" t="s">
        <v>15</v>
      </c>
      <c r="F54">
        <v>3.8</v>
      </c>
      <c r="G54">
        <v>3.8</v>
      </c>
      <c r="H54">
        <v>3.8</v>
      </c>
      <c r="I54">
        <v>3.8</v>
      </c>
      <c r="J54">
        <v>3.8</v>
      </c>
      <c r="K54" s="57">
        <f t="shared" si="21"/>
        <v>0</v>
      </c>
      <c r="M54">
        <v>3.8</v>
      </c>
      <c r="N54">
        <v>3.8</v>
      </c>
      <c r="O54" s="57">
        <f t="shared" si="25"/>
        <v>0</v>
      </c>
    </row>
    <row r="55" spans="2:16" x14ac:dyDescent="0.25">
      <c r="B55" s="61" t="s">
        <v>92</v>
      </c>
      <c r="C55" s="62"/>
      <c r="D55" s="62"/>
      <c r="E55" s="62"/>
      <c r="F55" s="62"/>
      <c r="G55" s="62"/>
      <c r="H55" s="62"/>
      <c r="I55" s="62"/>
      <c r="J55" s="62"/>
      <c r="K55" s="62"/>
      <c r="L55" s="31"/>
      <c r="M55" s="55"/>
      <c r="N55" s="55"/>
      <c r="O55" s="55"/>
    </row>
    <row r="56" spans="2:16" x14ac:dyDescent="0.25">
      <c r="B56" s="3" t="s">
        <v>93</v>
      </c>
      <c r="C56" s="45" t="s">
        <v>15</v>
      </c>
      <c r="D56" s="45" t="s">
        <v>15</v>
      </c>
      <c r="E56" s="45" t="s">
        <v>15</v>
      </c>
      <c r="F56">
        <v>131</v>
      </c>
      <c r="G56">
        <v>188</v>
      </c>
      <c r="H56">
        <v>256</v>
      </c>
      <c r="I56">
        <v>301</v>
      </c>
      <c r="J56">
        <v>494</v>
      </c>
      <c r="K56" s="44">
        <f t="shared" ref="K56:K57" si="26">J56-I56</f>
        <v>193</v>
      </c>
      <c r="M56" s="44">
        <v>382</v>
      </c>
      <c r="N56" s="44">
        <v>520</v>
      </c>
      <c r="O56" s="44">
        <f t="shared" ref="O56:O57" si="27">N56-M56</f>
        <v>138</v>
      </c>
    </row>
    <row r="57" spans="2:16" x14ac:dyDescent="0.25">
      <c r="B57" s="3" t="s">
        <v>94</v>
      </c>
      <c r="C57" s="45" t="s">
        <v>15</v>
      </c>
      <c r="D57" s="45" t="s">
        <v>15</v>
      </c>
      <c r="E57" s="45" t="s">
        <v>15</v>
      </c>
      <c r="F57">
        <v>80</v>
      </c>
      <c r="G57">
        <v>111</v>
      </c>
      <c r="H57">
        <v>147</v>
      </c>
      <c r="I57">
        <v>173</v>
      </c>
      <c r="J57">
        <v>263</v>
      </c>
      <c r="K57" s="44">
        <f t="shared" si="26"/>
        <v>90</v>
      </c>
      <c r="M57" s="44">
        <v>205</v>
      </c>
      <c r="N57" s="44">
        <v>275</v>
      </c>
      <c r="O57" s="44">
        <f t="shared" si="27"/>
        <v>70</v>
      </c>
    </row>
    <row r="58" spans="2:16" x14ac:dyDescent="0.25">
      <c r="B58" s="3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</sheetData>
  <pageMargins left="0.7" right="0.7" top="0.75" bottom="0.75" header="0.3" footer="0.3"/>
  <pageSetup paperSize="9" scale="43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66"/>
  <sheetViews>
    <sheetView showGridLines="0" tabSelected="1"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customWidth="1"/>
    <col min="12" max="12" width="2.85546875" style="65" customWidth="1"/>
    <col min="13" max="15" width="9.42578125" style="65" customWidth="1"/>
  </cols>
  <sheetData>
    <row r="1" spans="2:16" x14ac:dyDescent="0.25">
      <c r="C1" s="1"/>
      <c r="D1" s="1"/>
      <c r="E1" s="1"/>
      <c r="F1" s="2"/>
      <c r="G1" s="2"/>
      <c r="H1" s="2"/>
      <c r="I1" s="2"/>
      <c r="J1" s="2"/>
      <c r="K1" s="2"/>
    </row>
    <row r="2" spans="2:16" x14ac:dyDescent="0.25">
      <c r="B2" s="39" t="s">
        <v>95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6" t="s">
        <v>1</v>
      </c>
      <c r="J2" s="6" t="s">
        <v>1</v>
      </c>
      <c r="K2" s="40" t="s">
        <v>2</v>
      </c>
      <c r="L2" s="41"/>
      <c r="M2" s="6" t="s">
        <v>3</v>
      </c>
      <c r="N2" s="6" t="s">
        <v>3</v>
      </c>
      <c r="O2" s="6" t="s">
        <v>2</v>
      </c>
    </row>
    <row r="3" spans="2:16" ht="15.75" thickBot="1" x14ac:dyDescent="0.3">
      <c r="B3" s="42" t="s">
        <v>4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9">
        <v>2020</v>
      </c>
      <c r="J3" s="9">
        <v>2021</v>
      </c>
      <c r="K3" s="10" t="s">
        <v>5</v>
      </c>
      <c r="L3" s="41"/>
      <c r="M3" s="9">
        <v>2021</v>
      </c>
      <c r="N3" s="9">
        <v>2022</v>
      </c>
      <c r="O3" s="10" t="s">
        <v>6</v>
      </c>
    </row>
    <row r="4" spans="2:16" x14ac:dyDescent="0.25">
      <c r="B4" s="66" t="s">
        <v>96</v>
      </c>
      <c r="C4" s="51">
        <v>205.39000000000001</v>
      </c>
      <c r="D4" s="51">
        <v>304.83100000000002</v>
      </c>
      <c r="E4" s="51">
        <v>609.62800000000004</v>
      </c>
      <c r="F4" s="51">
        <v>1014</v>
      </c>
      <c r="G4" s="51">
        <v>1717</v>
      </c>
      <c r="H4" s="51">
        <v>1959</v>
      </c>
      <c r="I4" s="51">
        <v>2070</v>
      </c>
      <c r="J4" s="51">
        <v>2951</v>
      </c>
      <c r="K4" s="51">
        <f>J4-I4</f>
        <v>881</v>
      </c>
      <c r="L4" s="67"/>
      <c r="M4" s="51">
        <v>1132</v>
      </c>
      <c r="N4" s="51">
        <v>2117</v>
      </c>
      <c r="O4" s="51">
        <f>N4-M4</f>
        <v>985</v>
      </c>
      <c r="P4" s="20"/>
    </row>
    <row r="5" spans="2:16" x14ac:dyDescent="0.25">
      <c r="B5" s="18" t="s">
        <v>21</v>
      </c>
      <c r="C5" s="51">
        <v>210.18100000000001</v>
      </c>
      <c r="D5" s="51">
        <v>200.333</v>
      </c>
      <c r="E5" s="51">
        <v>443.23500000000001</v>
      </c>
      <c r="F5" s="51">
        <v>592</v>
      </c>
      <c r="G5" s="51">
        <v>798</v>
      </c>
      <c r="H5" s="51">
        <v>1058</v>
      </c>
      <c r="I5" s="51">
        <v>1342</v>
      </c>
      <c r="J5" s="51">
        <v>2101</v>
      </c>
      <c r="K5" s="51">
        <f t="shared" ref="K5:K24" si="0">J5-I5</f>
        <v>759</v>
      </c>
      <c r="L5" s="68"/>
      <c r="M5" s="51">
        <v>1051</v>
      </c>
      <c r="N5" s="51">
        <v>2059</v>
      </c>
      <c r="O5" s="51">
        <f t="shared" ref="O5:O24" si="1">N5-M5</f>
        <v>1008</v>
      </c>
      <c r="P5" s="1"/>
    </row>
    <row r="6" spans="2:16" x14ac:dyDescent="0.25">
      <c r="B6" s="66" t="s">
        <v>97</v>
      </c>
      <c r="C6" s="51">
        <v>66.836883419186591</v>
      </c>
      <c r="D6" s="51">
        <v>136.90278828440944</v>
      </c>
      <c r="E6" s="51">
        <v>448.97269115704557</v>
      </c>
      <c r="F6" s="51">
        <v>605</v>
      </c>
      <c r="G6" s="51">
        <v>816</v>
      </c>
      <c r="H6" s="51">
        <v>902</v>
      </c>
      <c r="I6" s="51">
        <f t="shared" ref="I6:J6" si="2">SUM(I7:I11)</f>
        <v>941</v>
      </c>
      <c r="J6" s="51">
        <f t="shared" si="2"/>
        <v>1045</v>
      </c>
      <c r="K6" s="51">
        <f t="shared" si="0"/>
        <v>104</v>
      </c>
      <c r="L6" s="68"/>
      <c r="M6" s="51">
        <v>441</v>
      </c>
      <c r="N6" s="51">
        <f t="shared" ref="N6" si="3">SUM(N7:N11)</f>
        <v>485</v>
      </c>
      <c r="O6" s="51">
        <f t="shared" si="1"/>
        <v>44</v>
      </c>
      <c r="P6" s="20"/>
    </row>
    <row r="7" spans="2:16" x14ac:dyDescent="0.25">
      <c r="B7" s="69" t="s">
        <v>98</v>
      </c>
      <c r="C7" s="51">
        <v>41.669966764836175</v>
      </c>
      <c r="D7" s="51">
        <v>23.435786273687899</v>
      </c>
      <c r="E7" s="51">
        <v>165</v>
      </c>
      <c r="F7" s="51">
        <v>142</v>
      </c>
      <c r="G7" s="51">
        <v>105</v>
      </c>
      <c r="H7" s="51">
        <v>69</v>
      </c>
      <c r="I7" s="51">
        <v>121</v>
      </c>
      <c r="J7" s="51">
        <v>295</v>
      </c>
      <c r="K7" s="51">
        <f t="shared" si="0"/>
        <v>174</v>
      </c>
      <c r="L7" s="70"/>
      <c r="M7" s="51">
        <v>73</v>
      </c>
      <c r="N7" s="51">
        <v>0</v>
      </c>
      <c r="O7" s="51">
        <f t="shared" si="1"/>
        <v>-73</v>
      </c>
      <c r="P7" s="1"/>
    </row>
    <row r="8" spans="2:16" x14ac:dyDescent="0.25">
      <c r="B8" s="69" t="s">
        <v>99</v>
      </c>
      <c r="C8" s="51">
        <v>78.227916654350452</v>
      </c>
      <c r="D8" s="51">
        <v>70.018002010721489</v>
      </c>
      <c r="E8" s="51">
        <v>146.45319474679684</v>
      </c>
      <c r="F8" s="51">
        <v>51</v>
      </c>
      <c r="G8" s="51">
        <v>85</v>
      </c>
      <c r="H8" s="51">
        <v>92</v>
      </c>
      <c r="I8" s="51">
        <v>82</v>
      </c>
      <c r="J8" s="51">
        <v>102</v>
      </c>
      <c r="K8" s="51">
        <f t="shared" si="0"/>
        <v>20</v>
      </c>
      <c r="L8" s="68"/>
      <c r="M8" s="51">
        <v>99</v>
      </c>
      <c r="N8" s="51">
        <v>-16</v>
      </c>
      <c r="O8" s="51">
        <f t="shared" si="1"/>
        <v>-115</v>
      </c>
      <c r="P8" s="1"/>
    </row>
    <row r="9" spans="2:16" x14ac:dyDescent="0.25">
      <c r="B9" s="69" t="s">
        <v>100</v>
      </c>
      <c r="C9" s="51">
        <v>-60.061000000000035</v>
      </c>
      <c r="D9" s="51">
        <v>26.449000000000069</v>
      </c>
      <c r="E9" s="51">
        <v>83.756321633929019</v>
      </c>
      <c r="F9" s="51">
        <v>135</v>
      </c>
      <c r="G9" s="51">
        <v>97</v>
      </c>
      <c r="H9" s="51">
        <v>115</v>
      </c>
      <c r="I9" s="51">
        <v>97</v>
      </c>
      <c r="J9" s="51">
        <v>77</v>
      </c>
      <c r="K9" s="51">
        <f t="shared" si="0"/>
        <v>-20</v>
      </c>
      <c r="L9" s="68"/>
      <c r="M9" s="51">
        <v>49</v>
      </c>
      <c r="N9" s="51">
        <v>44</v>
      </c>
      <c r="O9" s="51">
        <f t="shared" si="1"/>
        <v>-5</v>
      </c>
      <c r="P9" s="1"/>
    </row>
    <row r="10" spans="2:16" x14ac:dyDescent="0.25">
      <c r="B10" s="69" t="s">
        <v>101</v>
      </c>
      <c r="C10" s="51">
        <v>7</v>
      </c>
      <c r="D10" s="51">
        <v>17</v>
      </c>
      <c r="E10" s="51">
        <v>53.763174776319715</v>
      </c>
      <c r="F10" s="51">
        <v>277</v>
      </c>
      <c r="G10" s="51">
        <v>413</v>
      </c>
      <c r="H10" s="51">
        <v>466</v>
      </c>
      <c r="I10" s="51">
        <v>446</v>
      </c>
      <c r="J10" s="51">
        <v>422</v>
      </c>
      <c r="K10" s="51">
        <f t="shared" si="0"/>
        <v>-24</v>
      </c>
      <c r="L10" s="68"/>
      <c r="M10" s="51">
        <v>182</v>
      </c>
      <c r="N10" s="51">
        <v>386</v>
      </c>
      <c r="O10" s="51">
        <f t="shared" si="1"/>
        <v>204</v>
      </c>
      <c r="P10" s="1"/>
    </row>
    <row r="11" spans="2:16" x14ac:dyDescent="0.25">
      <c r="B11" s="69" t="s">
        <v>102</v>
      </c>
      <c r="C11" s="45" t="s">
        <v>15</v>
      </c>
      <c r="D11" s="45" t="s">
        <v>15</v>
      </c>
      <c r="E11" s="45" t="s">
        <v>15</v>
      </c>
      <c r="F11" s="45" t="s">
        <v>15</v>
      </c>
      <c r="G11" s="51">
        <v>116</v>
      </c>
      <c r="H11" s="51">
        <v>160</v>
      </c>
      <c r="I11" s="51">
        <v>195</v>
      </c>
      <c r="J11" s="51">
        <v>149</v>
      </c>
      <c r="K11" s="71">
        <f t="shared" si="0"/>
        <v>-46</v>
      </c>
      <c r="L11" s="68"/>
      <c r="M11" s="51">
        <v>38</v>
      </c>
      <c r="N11" s="51">
        <v>71</v>
      </c>
      <c r="O11" s="71">
        <f t="shared" si="1"/>
        <v>33</v>
      </c>
      <c r="P11" s="1"/>
    </row>
    <row r="12" spans="2:16" x14ac:dyDescent="0.25">
      <c r="B12" s="72" t="s">
        <v>103</v>
      </c>
      <c r="C12" s="51">
        <v>32.309772053554298</v>
      </c>
      <c r="D12" s="51">
        <v>38.876549469487827</v>
      </c>
      <c r="E12" s="51">
        <v>44</v>
      </c>
      <c r="F12" s="51">
        <v>86</v>
      </c>
      <c r="G12" s="51">
        <v>133</v>
      </c>
      <c r="H12" s="51">
        <v>174</v>
      </c>
      <c r="I12" s="51">
        <v>217</v>
      </c>
      <c r="J12" s="51">
        <v>283</v>
      </c>
      <c r="K12" s="51">
        <f t="shared" si="0"/>
        <v>66</v>
      </c>
      <c r="L12" s="68"/>
      <c r="M12" s="51">
        <v>142</v>
      </c>
      <c r="N12" s="51">
        <v>235</v>
      </c>
      <c r="O12" s="51">
        <f t="shared" si="1"/>
        <v>93</v>
      </c>
      <c r="P12" s="20"/>
    </row>
    <row r="13" spans="2:16" x14ac:dyDescent="0.25">
      <c r="B13" s="66" t="s">
        <v>37</v>
      </c>
      <c r="C13" s="51">
        <v>120.604</v>
      </c>
      <c r="D13" s="51">
        <v>126.396</v>
      </c>
      <c r="E13" s="51">
        <v>103.99730884295445</v>
      </c>
      <c r="F13" s="51">
        <v>47</v>
      </c>
      <c r="G13" s="51">
        <v>26</v>
      </c>
      <c r="H13" s="51">
        <v>-20</v>
      </c>
      <c r="I13" s="51">
        <v>193</v>
      </c>
      <c r="J13" s="51">
        <v>171</v>
      </c>
      <c r="K13" s="51">
        <f t="shared" si="0"/>
        <v>-22</v>
      </c>
      <c r="L13" s="68"/>
      <c r="M13" s="51">
        <v>66</v>
      </c>
      <c r="N13" s="51">
        <v>320</v>
      </c>
      <c r="O13" s="51">
        <f t="shared" si="1"/>
        <v>254</v>
      </c>
      <c r="P13" s="1"/>
    </row>
    <row r="14" spans="2:16" x14ac:dyDescent="0.25">
      <c r="B14" s="14" t="s">
        <v>27</v>
      </c>
      <c r="C14" s="48">
        <v>635.32165547274099</v>
      </c>
      <c r="D14" s="48">
        <v>807.33933775389721</v>
      </c>
      <c r="E14" s="48">
        <v>1649.8330000000001</v>
      </c>
      <c r="F14" s="48">
        <v>2344</v>
      </c>
      <c r="G14" s="48">
        <v>3490</v>
      </c>
      <c r="H14" s="48">
        <v>4073</v>
      </c>
      <c r="I14" s="48">
        <f>SUM(I4:I6,I12:I13)</f>
        <v>4763</v>
      </c>
      <c r="J14" s="48">
        <f>SUM(J4:J6,J12:J13)</f>
        <v>6551</v>
      </c>
      <c r="K14" s="48">
        <f t="shared" si="0"/>
        <v>1788</v>
      </c>
      <c r="L14" s="73"/>
      <c r="M14" s="48">
        <f>SUM(M4:M6,M12:M13)</f>
        <v>2832</v>
      </c>
      <c r="N14" s="48">
        <f>SUM(N4:N6,N12:N13)</f>
        <v>5216</v>
      </c>
      <c r="O14" s="48">
        <f t="shared" si="1"/>
        <v>2384</v>
      </c>
      <c r="P14" s="20"/>
    </row>
    <row r="15" spans="2:16" x14ac:dyDescent="0.25">
      <c r="B15" s="11" t="s">
        <v>104</v>
      </c>
      <c r="C15" s="50">
        <v>-71</v>
      </c>
      <c r="D15" s="50">
        <v>-125</v>
      </c>
      <c r="E15" s="50">
        <v>-265</v>
      </c>
      <c r="F15" s="51">
        <v>-577</v>
      </c>
      <c r="G15" s="51">
        <v>-1082</v>
      </c>
      <c r="H15" s="51">
        <v>-1178</v>
      </c>
      <c r="I15" s="51">
        <v>-1157</v>
      </c>
      <c r="J15" s="51">
        <v>-1050</v>
      </c>
      <c r="K15" s="51">
        <f t="shared" si="0"/>
        <v>107</v>
      </c>
      <c r="L15" s="68"/>
      <c r="M15" s="51">
        <v>-213</v>
      </c>
      <c r="N15" s="51">
        <v>-596</v>
      </c>
      <c r="O15" s="51">
        <f t="shared" si="1"/>
        <v>-383</v>
      </c>
      <c r="P15" s="1"/>
    </row>
    <row r="16" spans="2:16" x14ac:dyDescent="0.25">
      <c r="B16" s="11" t="s">
        <v>98</v>
      </c>
      <c r="C16" s="50">
        <v>-41.669966764836175</v>
      </c>
      <c r="D16" s="50">
        <v>-23.435786273687899</v>
      </c>
      <c r="E16" s="50">
        <v>-165</v>
      </c>
      <c r="F16" s="50">
        <v>-142</v>
      </c>
      <c r="G16" s="50">
        <v>-105</v>
      </c>
      <c r="H16" s="50">
        <v>-69</v>
      </c>
      <c r="I16" s="51">
        <v>-121</v>
      </c>
      <c r="J16" s="51">
        <v>-295</v>
      </c>
      <c r="K16" s="51">
        <f t="shared" si="0"/>
        <v>-174</v>
      </c>
      <c r="L16" s="68"/>
      <c r="M16" s="51">
        <v>-73</v>
      </c>
      <c r="N16" s="51">
        <v>0</v>
      </c>
      <c r="O16" s="51">
        <f t="shared" si="1"/>
        <v>73</v>
      </c>
      <c r="P16" s="1"/>
    </row>
    <row r="17" spans="2:16" x14ac:dyDescent="0.25">
      <c r="B17" s="11" t="s">
        <v>105</v>
      </c>
      <c r="C17" s="50">
        <v>-475.6280332351638</v>
      </c>
      <c r="D17" s="50">
        <v>-34.714305234190533</v>
      </c>
      <c r="E17" s="50">
        <v>412.99962729786353</v>
      </c>
      <c r="F17" s="51">
        <v>20.574684588912532</v>
      </c>
      <c r="G17" s="51">
        <v>71</v>
      </c>
      <c r="H17" s="51">
        <v>-449</v>
      </c>
      <c r="I17" s="51">
        <v>78</v>
      </c>
      <c r="J17" s="51">
        <v>1381</v>
      </c>
      <c r="K17" s="50">
        <f t="shared" si="0"/>
        <v>1303</v>
      </c>
      <c r="L17" s="68"/>
      <c r="M17" s="51">
        <v>381</v>
      </c>
      <c r="N17" s="51">
        <v>386</v>
      </c>
      <c r="O17" s="50">
        <f t="shared" si="1"/>
        <v>5</v>
      </c>
      <c r="P17" s="1"/>
    </row>
    <row r="18" spans="2:16" x14ac:dyDescent="0.25">
      <c r="B18" s="14" t="s">
        <v>48</v>
      </c>
      <c r="C18" s="48">
        <v>47.023655472740984</v>
      </c>
      <c r="D18" s="48">
        <v>624.1892462460188</v>
      </c>
      <c r="E18" s="48">
        <v>1632.8326272978638</v>
      </c>
      <c r="F18" s="48">
        <v>1645.5746845889125</v>
      </c>
      <c r="G18" s="48">
        <v>2374</v>
      </c>
      <c r="H18" s="48">
        <v>2377</v>
      </c>
      <c r="I18" s="48">
        <f>SUM(I14:I17)</f>
        <v>3563</v>
      </c>
      <c r="J18" s="48">
        <f>SUM(J14:J17)</f>
        <v>6587</v>
      </c>
      <c r="K18" s="48">
        <f t="shared" si="0"/>
        <v>3024</v>
      </c>
      <c r="L18" s="74"/>
      <c r="M18" s="48">
        <f>SUM(M14:M17)</f>
        <v>2927</v>
      </c>
      <c r="N18" s="48">
        <f>SUM(N14:N17)</f>
        <v>5006</v>
      </c>
      <c r="O18" s="48">
        <f t="shared" si="1"/>
        <v>2079</v>
      </c>
      <c r="P18" s="1"/>
    </row>
    <row r="19" spans="2:16" x14ac:dyDescent="0.25">
      <c r="B19" s="11" t="s">
        <v>106</v>
      </c>
      <c r="C19" s="50">
        <v>-619</v>
      </c>
      <c r="D19" s="50">
        <v>-1269</v>
      </c>
      <c r="E19" s="50">
        <v>-1599</v>
      </c>
      <c r="F19" s="50">
        <v>-1573</v>
      </c>
      <c r="G19" s="51">
        <v>-1605</v>
      </c>
      <c r="H19" s="51">
        <v>-1418</v>
      </c>
      <c r="I19" s="51">
        <v>-1790</v>
      </c>
      <c r="J19" s="51">
        <v>-2800</v>
      </c>
      <c r="K19" s="50">
        <f t="shared" si="0"/>
        <v>-1010</v>
      </c>
      <c r="L19" s="75"/>
      <c r="M19" s="51">
        <v>-1110</v>
      </c>
      <c r="N19" s="51">
        <v>-934</v>
      </c>
      <c r="O19" s="50">
        <f t="shared" si="1"/>
        <v>176</v>
      </c>
      <c r="P19" s="1"/>
    </row>
    <row r="20" spans="2:16" x14ac:dyDescent="0.25">
      <c r="B20" s="11" t="s">
        <v>98</v>
      </c>
      <c r="C20" s="50">
        <v>41.669966764836175</v>
      </c>
      <c r="D20" s="50">
        <v>23.435786273687899</v>
      </c>
      <c r="E20" s="50">
        <v>165</v>
      </c>
      <c r="F20" s="50">
        <v>142</v>
      </c>
      <c r="G20" s="50">
        <v>105</v>
      </c>
      <c r="H20" s="50">
        <v>69</v>
      </c>
      <c r="I20" s="51">
        <v>121</v>
      </c>
      <c r="J20" s="51">
        <v>295</v>
      </c>
      <c r="K20" s="50">
        <f t="shared" si="0"/>
        <v>174</v>
      </c>
      <c r="L20" s="68"/>
      <c r="M20" s="51">
        <v>73</v>
      </c>
      <c r="N20" s="51">
        <v>0</v>
      </c>
      <c r="O20" s="50">
        <f t="shared" si="1"/>
        <v>-73</v>
      </c>
      <c r="P20" s="1"/>
    </row>
    <row r="21" spans="2:16" x14ac:dyDescent="0.25">
      <c r="B21" s="11" t="s">
        <v>107</v>
      </c>
      <c r="C21" s="50">
        <v>-103.91940598232948</v>
      </c>
      <c r="D21" s="50">
        <v>-186.83463205894682</v>
      </c>
      <c r="E21" s="50">
        <v>-186.42000000000002</v>
      </c>
      <c r="F21" s="50">
        <v>-307.66720910269106</v>
      </c>
      <c r="G21" s="51">
        <v>-308</v>
      </c>
      <c r="H21" s="51">
        <v>-255</v>
      </c>
      <c r="I21" s="51">
        <v>-346</v>
      </c>
      <c r="J21" s="51">
        <v>-451</v>
      </c>
      <c r="K21" s="50">
        <f t="shared" si="0"/>
        <v>-105</v>
      </c>
      <c r="L21" s="68"/>
      <c r="M21" s="51">
        <v>-187</v>
      </c>
      <c r="N21" s="51">
        <v>-168</v>
      </c>
      <c r="O21" s="50">
        <f t="shared" si="1"/>
        <v>19</v>
      </c>
      <c r="P21" s="1"/>
    </row>
    <row r="22" spans="2:16" x14ac:dyDescent="0.25">
      <c r="B22" s="11" t="s">
        <v>108</v>
      </c>
      <c r="C22" s="50">
        <v>202.24943921749332</v>
      </c>
      <c r="D22" s="50">
        <v>384.39884578525891</v>
      </c>
      <c r="E22" s="50">
        <v>108.42000000000002</v>
      </c>
      <c r="F22" s="50">
        <v>34.151704117641486</v>
      </c>
      <c r="G22" s="51">
        <v>259</v>
      </c>
      <c r="H22" s="51">
        <v>49</v>
      </c>
      <c r="I22" s="51">
        <v>-96</v>
      </c>
      <c r="J22" s="51">
        <v>-452</v>
      </c>
      <c r="K22" s="50">
        <f t="shared" si="0"/>
        <v>-356</v>
      </c>
      <c r="L22" s="68"/>
      <c r="M22" s="51">
        <v>54</v>
      </c>
      <c r="N22" s="51">
        <v>-986</v>
      </c>
      <c r="O22" s="50">
        <f t="shared" si="1"/>
        <v>-1040</v>
      </c>
      <c r="P22" s="1"/>
    </row>
    <row r="23" spans="2:16" x14ac:dyDescent="0.25">
      <c r="B23" s="14" t="s">
        <v>109</v>
      </c>
      <c r="C23" s="48">
        <v>-479</v>
      </c>
      <c r="D23" s="48">
        <v>-1048</v>
      </c>
      <c r="E23" s="48">
        <v>-1512</v>
      </c>
      <c r="F23" s="48">
        <v>-1704.5155049850496</v>
      </c>
      <c r="G23" s="48">
        <v>-1549</v>
      </c>
      <c r="H23" s="48">
        <v>-1555</v>
      </c>
      <c r="I23" s="48">
        <f t="shared" ref="I23:J23" si="4">SUM(I19:I22)</f>
        <v>-2111</v>
      </c>
      <c r="J23" s="48">
        <f t="shared" si="4"/>
        <v>-3408</v>
      </c>
      <c r="K23" s="48">
        <f t="shared" si="0"/>
        <v>-1297</v>
      </c>
      <c r="L23" s="74"/>
      <c r="M23" s="48">
        <f t="shared" ref="M23:N23" si="5">SUM(M19:M22)</f>
        <v>-1170</v>
      </c>
      <c r="N23" s="48">
        <f t="shared" si="5"/>
        <v>-2088</v>
      </c>
      <c r="O23" s="48">
        <f t="shared" si="1"/>
        <v>-918</v>
      </c>
      <c r="P23" s="1"/>
    </row>
    <row r="24" spans="2:16" x14ac:dyDescent="0.25">
      <c r="B24" s="14" t="s">
        <v>50</v>
      </c>
      <c r="C24" s="48">
        <v>-431.97634452725902</v>
      </c>
      <c r="D24" s="48">
        <v>-423.3107537539812</v>
      </c>
      <c r="E24" s="48">
        <v>120.83262729786384</v>
      </c>
      <c r="F24" s="48">
        <v>-58.940820396137042</v>
      </c>
      <c r="G24" s="48">
        <v>825</v>
      </c>
      <c r="H24" s="48">
        <v>822</v>
      </c>
      <c r="I24" s="48">
        <f>I23+I18</f>
        <v>1452</v>
      </c>
      <c r="J24" s="48">
        <f>J23+J18</f>
        <v>3179</v>
      </c>
      <c r="K24" s="48">
        <f t="shared" si="0"/>
        <v>1727</v>
      </c>
      <c r="L24" s="74"/>
      <c r="M24" s="48">
        <f>M23+M18</f>
        <v>1757</v>
      </c>
      <c r="N24" s="48">
        <f>N23+N18</f>
        <v>2918</v>
      </c>
      <c r="O24" s="48">
        <f t="shared" si="1"/>
        <v>1161</v>
      </c>
      <c r="P24" s="1"/>
    </row>
    <row r="25" spans="2:16" x14ac:dyDescent="0.25">
      <c r="B25" s="5"/>
      <c r="C25" s="76"/>
      <c r="D25" s="76"/>
      <c r="E25" s="76"/>
      <c r="F25" s="76"/>
      <c r="G25" s="76"/>
      <c r="H25" s="76"/>
      <c r="I25" s="76"/>
      <c r="J25" s="76"/>
      <c r="K25" s="76"/>
      <c r="M25" s="76"/>
      <c r="N25" s="76"/>
      <c r="O25" s="76"/>
    </row>
    <row r="26" spans="2:16" x14ac:dyDescent="0.25">
      <c r="B26" s="39" t="s">
        <v>95</v>
      </c>
      <c r="C26" s="40" t="s">
        <v>1</v>
      </c>
      <c r="D26" s="40" t="s">
        <v>1</v>
      </c>
      <c r="E26" s="40" t="s">
        <v>1</v>
      </c>
      <c r="F26" s="40" t="s">
        <v>1</v>
      </c>
      <c r="G26" s="40" t="s">
        <v>1</v>
      </c>
      <c r="H26" s="40" t="s">
        <v>1</v>
      </c>
      <c r="I26" s="6" t="s">
        <v>1</v>
      </c>
      <c r="J26" s="6" t="s">
        <v>1</v>
      </c>
      <c r="K26" s="40" t="s">
        <v>2</v>
      </c>
      <c r="L26" s="41"/>
      <c r="M26" s="6" t="s">
        <v>3</v>
      </c>
      <c r="N26" s="6" t="s">
        <v>3</v>
      </c>
      <c r="O26" s="6" t="s">
        <v>2</v>
      </c>
    </row>
    <row r="27" spans="2:16" ht="15.75" thickBot="1" x14ac:dyDescent="0.3">
      <c r="B27" s="42" t="s">
        <v>77</v>
      </c>
      <c r="C27" s="43">
        <v>2014</v>
      </c>
      <c r="D27" s="43">
        <v>2015</v>
      </c>
      <c r="E27" s="43">
        <v>2016</v>
      </c>
      <c r="F27" s="43">
        <v>2017</v>
      </c>
      <c r="G27" s="43">
        <v>2018</v>
      </c>
      <c r="H27" s="43">
        <v>2019</v>
      </c>
      <c r="I27" s="9">
        <v>2020</v>
      </c>
      <c r="J27" s="9">
        <v>2021</v>
      </c>
      <c r="K27" s="10" t="s">
        <v>5</v>
      </c>
      <c r="L27" s="41"/>
      <c r="M27" s="9">
        <v>2021</v>
      </c>
      <c r="N27" s="9">
        <v>2022</v>
      </c>
      <c r="O27" s="10" t="s">
        <v>6</v>
      </c>
    </row>
    <row r="28" spans="2:16" x14ac:dyDescent="0.25">
      <c r="B28" s="66" t="s">
        <v>110</v>
      </c>
      <c r="C28" s="51">
        <v>966.44059948407414</v>
      </c>
      <c r="D28" s="51">
        <f t="shared" ref="D28:J28" si="6">C33</f>
        <v>1435.1508636508995</v>
      </c>
      <c r="E28" s="51">
        <f t="shared" si="6"/>
        <v>2661.559619819981</v>
      </c>
      <c r="F28" s="51">
        <f t="shared" si="6"/>
        <v>3914.3147345384236</v>
      </c>
      <c r="G28" s="51">
        <f t="shared" si="6"/>
        <v>5322.0147345384239</v>
      </c>
      <c r="H28" s="51">
        <f t="shared" si="6"/>
        <v>6948.0147345384239</v>
      </c>
      <c r="I28" s="51">
        <f t="shared" si="6"/>
        <v>8400.2602391005548</v>
      </c>
      <c r="J28" s="51">
        <f t="shared" si="6"/>
        <v>9354.2602391005548</v>
      </c>
      <c r="K28" s="51">
        <f t="shared" ref="K28:K60" si="7">J28-I28</f>
        <v>954</v>
      </c>
      <c r="L28" s="68"/>
      <c r="M28" s="51">
        <v>9355</v>
      </c>
      <c r="N28" s="51">
        <f>J33</f>
        <v>11238.260239100555</v>
      </c>
      <c r="O28" s="51">
        <f t="shared" ref="O28:O34" si="8">N28-M28</f>
        <v>1883.2602391005548</v>
      </c>
      <c r="P28" s="56"/>
    </row>
    <row r="29" spans="2:16" x14ac:dyDescent="0.25">
      <c r="B29" s="69" t="s">
        <v>106</v>
      </c>
      <c r="C29" s="51">
        <v>619</v>
      </c>
      <c r="D29" s="51">
        <v>1269</v>
      </c>
      <c r="E29" s="51">
        <v>1599</v>
      </c>
      <c r="F29" s="51">
        <v>1573</v>
      </c>
      <c r="G29" s="51">
        <v>1605</v>
      </c>
      <c r="H29" s="51">
        <v>1418</v>
      </c>
      <c r="I29" s="51">
        <f>-I19</f>
        <v>1790</v>
      </c>
      <c r="J29" s="51">
        <v>2800</v>
      </c>
      <c r="K29" s="51">
        <f t="shared" si="7"/>
        <v>1010</v>
      </c>
      <c r="L29" s="68"/>
      <c r="M29" s="51">
        <v>1110</v>
      </c>
      <c r="N29" s="51">
        <v>934</v>
      </c>
      <c r="O29" s="51">
        <f t="shared" si="8"/>
        <v>-176</v>
      </c>
      <c r="P29" s="56"/>
    </row>
    <row r="30" spans="2:16" x14ac:dyDescent="0.25">
      <c r="B30" s="69" t="s">
        <v>21</v>
      </c>
      <c r="C30" s="51">
        <v>-210.18100000000001</v>
      </c>
      <c r="D30" s="51">
        <v>-200.333</v>
      </c>
      <c r="E30" s="51">
        <v>-443.23500000000001</v>
      </c>
      <c r="F30" s="51">
        <v>-592</v>
      </c>
      <c r="G30" s="51">
        <v>-798</v>
      </c>
      <c r="H30" s="51">
        <v>-1058</v>
      </c>
      <c r="I30" s="51">
        <f>-I5</f>
        <v>-1342</v>
      </c>
      <c r="J30" s="51">
        <v>-2556</v>
      </c>
      <c r="K30" s="51">
        <f t="shared" si="7"/>
        <v>-1214</v>
      </c>
      <c r="L30" s="68"/>
      <c r="M30" s="51">
        <v>-1278</v>
      </c>
      <c r="N30" s="51">
        <v>-2332</v>
      </c>
      <c r="O30" s="51">
        <f t="shared" si="8"/>
        <v>-1054</v>
      </c>
      <c r="P30" s="77"/>
    </row>
    <row r="31" spans="2:16" x14ac:dyDescent="0.25">
      <c r="B31" s="69" t="s">
        <v>111</v>
      </c>
      <c r="C31" s="45" t="s">
        <v>15</v>
      </c>
      <c r="D31" s="45" t="s">
        <v>15</v>
      </c>
      <c r="E31" s="45" t="s">
        <v>15</v>
      </c>
      <c r="F31" s="45" t="s">
        <v>15</v>
      </c>
      <c r="G31" s="45" t="s">
        <v>15</v>
      </c>
      <c r="H31" s="45" t="s">
        <v>15</v>
      </c>
      <c r="I31" s="44">
        <v>-492</v>
      </c>
      <c r="J31" s="45" t="s">
        <v>15</v>
      </c>
      <c r="K31" s="45">
        <f>-I31</f>
        <v>492</v>
      </c>
      <c r="L31" s="68"/>
      <c r="M31" s="45" t="s">
        <v>15</v>
      </c>
      <c r="N31" s="45" t="s">
        <v>15</v>
      </c>
      <c r="O31" s="45" t="s">
        <v>15</v>
      </c>
      <c r="P31" s="77"/>
    </row>
    <row r="32" spans="2:16" x14ac:dyDescent="0.25">
      <c r="B32" s="69" t="s">
        <v>112</v>
      </c>
      <c r="C32" s="51">
        <v>59.891264166825501</v>
      </c>
      <c r="D32" s="51">
        <v>157.74175616908124</v>
      </c>
      <c r="E32" s="51">
        <v>96.990114718442669</v>
      </c>
      <c r="F32" s="51">
        <v>426.7</v>
      </c>
      <c r="G32" s="51">
        <v>819</v>
      </c>
      <c r="H32" s="51">
        <v>1092.24550456213</v>
      </c>
      <c r="I32" s="51">
        <v>998</v>
      </c>
      <c r="J32" s="51">
        <v>1640</v>
      </c>
      <c r="K32" s="51">
        <f t="shared" si="7"/>
        <v>642</v>
      </c>
      <c r="L32" s="68"/>
      <c r="M32" s="51">
        <v>1639</v>
      </c>
      <c r="N32" s="51">
        <v>8836</v>
      </c>
      <c r="O32" s="51">
        <f t="shared" si="8"/>
        <v>7197</v>
      </c>
      <c r="P32" s="56"/>
    </row>
    <row r="33" spans="2:16" x14ac:dyDescent="0.25">
      <c r="B33" s="14" t="s">
        <v>113</v>
      </c>
      <c r="C33" s="48">
        <v>1435.1508636508995</v>
      </c>
      <c r="D33" s="48">
        <v>2661.559619819981</v>
      </c>
      <c r="E33" s="48">
        <v>3914.3147345384236</v>
      </c>
      <c r="F33" s="48">
        <v>5322.0147345384239</v>
      </c>
      <c r="G33" s="48">
        <v>6948.0147345384239</v>
      </c>
      <c r="H33" s="48">
        <v>8400.2602391005548</v>
      </c>
      <c r="I33" s="48">
        <f>SUM(I28:I32)</f>
        <v>9354.2602391005548</v>
      </c>
      <c r="J33" s="48">
        <f>SUM(J28:J32)</f>
        <v>11238.260239100555</v>
      </c>
      <c r="K33" s="48">
        <f t="shared" si="7"/>
        <v>1884</v>
      </c>
      <c r="L33" s="74"/>
      <c r="M33" s="48">
        <f>SUM(M28:M32)</f>
        <v>10826</v>
      </c>
      <c r="N33" s="48">
        <f>SUM(N28:N32)</f>
        <v>18676.260239100557</v>
      </c>
      <c r="O33" s="48">
        <f t="shared" si="8"/>
        <v>7850.2602391005566</v>
      </c>
      <c r="P33" s="77"/>
    </row>
    <row r="34" spans="2:16" x14ac:dyDescent="0.25">
      <c r="B34" s="66" t="s">
        <v>114</v>
      </c>
      <c r="C34" s="78">
        <v>9.9699999999999997E-2</v>
      </c>
      <c r="D34" s="78">
        <v>9.9699999999999997E-2</v>
      </c>
      <c r="E34" s="78">
        <v>0.1191</v>
      </c>
      <c r="F34" s="78">
        <v>0.1191</v>
      </c>
      <c r="G34" s="78">
        <v>0.1361</v>
      </c>
      <c r="H34" s="78">
        <v>0.1361</v>
      </c>
      <c r="I34" s="78">
        <v>0.13609999999999997</v>
      </c>
      <c r="J34" s="78">
        <v>0.123</v>
      </c>
      <c r="K34" s="78">
        <f t="shared" si="7"/>
        <v>-1.3099999999999973E-2</v>
      </c>
      <c r="L34" s="68"/>
      <c r="M34" s="78">
        <v>0.123</v>
      </c>
      <c r="N34" s="78">
        <f>J34</f>
        <v>0.123</v>
      </c>
      <c r="O34" s="78">
        <f t="shared" si="8"/>
        <v>0</v>
      </c>
      <c r="P34" s="56"/>
    </row>
    <row r="35" spans="2:16" x14ac:dyDescent="0.25">
      <c r="B35" s="14" t="s">
        <v>49</v>
      </c>
      <c r="C35" s="79"/>
      <c r="D35" s="79"/>
      <c r="E35" s="79"/>
      <c r="F35" s="79"/>
      <c r="G35" s="79"/>
      <c r="H35" s="79"/>
      <c r="I35" s="79"/>
      <c r="J35" s="79"/>
      <c r="K35" s="79"/>
      <c r="L35" s="74"/>
      <c r="M35" s="79"/>
      <c r="N35" s="79"/>
      <c r="O35" s="79"/>
      <c r="P35" s="56"/>
    </row>
    <row r="36" spans="2:16" x14ac:dyDescent="0.25">
      <c r="B36" s="66" t="s">
        <v>115</v>
      </c>
      <c r="C36" s="51">
        <v>567.00000000000011</v>
      </c>
      <c r="D36" s="51">
        <v>567</v>
      </c>
      <c r="E36" s="51">
        <v>863.87649800000008</v>
      </c>
      <c r="F36" s="51">
        <v>863.87649800000008</v>
      </c>
      <c r="G36" s="51">
        <v>863.87649800000008</v>
      </c>
      <c r="H36" s="51">
        <v>863.87649799999997</v>
      </c>
      <c r="I36" s="51">
        <v>864</v>
      </c>
      <c r="J36" s="51">
        <v>1486</v>
      </c>
      <c r="K36" s="51">
        <f t="shared" si="7"/>
        <v>622</v>
      </c>
      <c r="L36" s="68"/>
      <c r="M36" s="51">
        <v>743</v>
      </c>
      <c r="N36" s="51">
        <v>742.80841842340692</v>
      </c>
      <c r="O36" s="45" t="s">
        <v>15</v>
      </c>
      <c r="P36" s="56"/>
    </row>
    <row r="37" spans="2:16" x14ac:dyDescent="0.25">
      <c r="B37" s="66" t="s">
        <v>116</v>
      </c>
      <c r="C37" s="51">
        <v>525.66332335329355</v>
      </c>
      <c r="D37" s="51">
        <v>571.97426214071868</v>
      </c>
      <c r="E37" s="51">
        <v>903.09364590696111</v>
      </c>
      <c r="F37" s="51">
        <v>1001.5406495151198</v>
      </c>
      <c r="G37" s="51">
        <v>1156</v>
      </c>
      <c r="H37" s="51">
        <v>1337.2950444151948</v>
      </c>
      <c r="I37" s="51">
        <v>1506</v>
      </c>
      <c r="J37" s="51">
        <v>3044</v>
      </c>
      <c r="K37" s="51">
        <f t="shared" si="7"/>
        <v>1538</v>
      </c>
      <c r="L37" s="68"/>
      <c r="M37" s="51">
        <v>1522</v>
      </c>
      <c r="N37" s="51">
        <v>2682.2940596443286</v>
      </c>
      <c r="O37" s="51">
        <f t="shared" ref="O37:O39" si="9">N37-M37</f>
        <v>1160.2940596443286</v>
      </c>
      <c r="P37" s="56"/>
    </row>
    <row r="38" spans="2:16" x14ac:dyDescent="0.25">
      <c r="B38" s="66" t="s">
        <v>106</v>
      </c>
      <c r="C38" s="51">
        <v>619</v>
      </c>
      <c r="D38" s="51">
        <v>1269</v>
      </c>
      <c r="E38" s="51">
        <v>1599</v>
      </c>
      <c r="F38" s="51">
        <v>1573</v>
      </c>
      <c r="G38" s="51">
        <v>1605</v>
      </c>
      <c r="H38" s="51">
        <v>1418</v>
      </c>
      <c r="I38" s="51">
        <f>I29</f>
        <v>1790</v>
      </c>
      <c r="J38" s="51">
        <v>2800</v>
      </c>
      <c r="K38" s="51">
        <f t="shared" si="7"/>
        <v>1010</v>
      </c>
      <c r="L38" s="68"/>
      <c r="M38" s="51">
        <v>1110</v>
      </c>
      <c r="N38" s="51">
        <v>933.82692299608175</v>
      </c>
      <c r="O38" s="51">
        <f t="shared" si="9"/>
        <v>-176.17307700391825</v>
      </c>
      <c r="P38" s="56"/>
    </row>
    <row r="39" spans="2:16" x14ac:dyDescent="0.25">
      <c r="B39" s="66" t="s">
        <v>117</v>
      </c>
      <c r="C39" s="80">
        <f>C38/C37-1</f>
        <v>0.17755980396596116</v>
      </c>
      <c r="D39" s="80">
        <f t="shared" ref="D39:I39" si="10">D38/D37-1</f>
        <v>1.2186312986366459</v>
      </c>
      <c r="E39" s="80">
        <f t="shared" si="10"/>
        <v>0.77058050097800468</v>
      </c>
      <c r="F39" s="80">
        <f t="shared" si="10"/>
        <v>0.57058028624354229</v>
      </c>
      <c r="G39" s="80">
        <f t="shared" si="10"/>
        <v>0.3884083044982698</v>
      </c>
      <c r="H39" s="80">
        <f t="shared" si="10"/>
        <v>6.0349401519017798E-2</v>
      </c>
      <c r="I39" s="80">
        <f t="shared" si="10"/>
        <v>0.18857901726427628</v>
      </c>
      <c r="J39" s="80">
        <v>-8.0157687253613719E-2</v>
      </c>
      <c r="K39" s="80">
        <f t="shared" si="7"/>
        <v>-0.26873670451789</v>
      </c>
      <c r="L39" s="68"/>
      <c r="M39" s="80">
        <v>-0.27069645203679371</v>
      </c>
      <c r="N39" s="80">
        <v>-0.65185512765147502</v>
      </c>
      <c r="O39" s="80">
        <f t="shared" si="9"/>
        <v>-0.38115867561468131</v>
      </c>
      <c r="P39" s="56"/>
    </row>
    <row r="40" spans="2:16" x14ac:dyDescent="0.25">
      <c r="B40" s="14" t="s">
        <v>118</v>
      </c>
      <c r="C40" s="81"/>
      <c r="D40" s="81"/>
      <c r="E40" s="81"/>
      <c r="F40" s="81"/>
      <c r="G40" s="81"/>
      <c r="H40" s="81"/>
      <c r="I40" s="81"/>
      <c r="J40" s="81"/>
      <c r="K40" s="81"/>
      <c r="L40" s="74"/>
      <c r="M40" s="81"/>
      <c r="N40" s="81"/>
      <c r="O40" s="81"/>
      <c r="P40" s="56"/>
    </row>
    <row r="41" spans="2:16" x14ac:dyDescent="0.25">
      <c r="B41" s="66" t="s">
        <v>119</v>
      </c>
      <c r="C41" s="82">
        <v>7.8799999999999995E-2</v>
      </c>
      <c r="D41" s="82">
        <v>7.8799999999999995E-2</v>
      </c>
      <c r="E41" s="82">
        <v>0.08</v>
      </c>
      <c r="F41" s="82">
        <v>7.7499999999999999E-2</v>
      </c>
      <c r="G41" s="83">
        <v>7.6352424951418529E-2</v>
      </c>
      <c r="H41" s="83">
        <v>7.3323606072953129E-2</v>
      </c>
      <c r="I41" s="83">
        <v>7.1800000000000003E-2</v>
      </c>
      <c r="J41" s="83">
        <v>6.7599999999999993E-2</v>
      </c>
      <c r="K41" s="83">
        <f t="shared" si="7"/>
        <v>-4.2000000000000093E-3</v>
      </c>
      <c r="L41" s="68"/>
      <c r="M41" s="83">
        <v>6.7599999999999993E-2</v>
      </c>
      <c r="N41" s="83">
        <v>6.7799999999999999E-2</v>
      </c>
      <c r="O41" s="83">
        <f t="shared" ref="O41:O44" si="11">N41-M41</f>
        <v>2.0000000000000573E-4</v>
      </c>
      <c r="P41" s="56"/>
    </row>
    <row r="42" spans="2:16" x14ac:dyDescent="0.25">
      <c r="B42" s="66" t="s">
        <v>120</v>
      </c>
      <c r="C42" s="82">
        <v>7.6799999999999993E-2</v>
      </c>
      <c r="D42" s="82">
        <v>7.0000000000000007E-2</v>
      </c>
      <c r="E42" s="82">
        <v>6.9800000000000001E-2</v>
      </c>
      <c r="F42" s="82">
        <v>6.0496507664818691E-2</v>
      </c>
      <c r="G42" s="83">
        <v>6.107955885564343E-2</v>
      </c>
      <c r="H42" s="83">
        <v>5.7048399613746324E-2</v>
      </c>
      <c r="I42" s="83">
        <v>6.0291549277044644E-2</v>
      </c>
      <c r="J42" s="83">
        <v>6.020449416271377E-2</v>
      </c>
      <c r="K42" s="83">
        <f t="shared" si="7"/>
        <v>-8.7055114330873706E-5</v>
      </c>
      <c r="L42" s="68"/>
      <c r="M42" s="83">
        <v>4.9024203807893352E-2</v>
      </c>
      <c r="N42" s="83">
        <v>4.9659512196693838E-2</v>
      </c>
      <c r="O42" s="83">
        <f t="shared" si="11"/>
        <v>6.3530838880048596E-4</v>
      </c>
      <c r="P42" s="56"/>
    </row>
    <row r="43" spans="2:16" x14ac:dyDescent="0.25">
      <c r="B43" s="66" t="s">
        <v>121</v>
      </c>
      <c r="C43" s="82">
        <f>C41-C42</f>
        <v>2.0000000000000018E-3</v>
      </c>
      <c r="D43" s="82">
        <f>D41-D42</f>
        <v>8.7999999999999884E-3</v>
      </c>
      <c r="E43" s="82">
        <f>E41-E42</f>
        <v>1.0200000000000001E-2</v>
      </c>
      <c r="F43" s="82">
        <v>1.7003492335181308E-2</v>
      </c>
      <c r="G43" s="82">
        <f t="shared" ref="G43:J43" si="12">G41-G42</f>
        <v>1.5272866095775099E-2</v>
      </c>
      <c r="H43" s="82">
        <f t="shared" si="12"/>
        <v>1.6275206459206805E-2</v>
      </c>
      <c r="I43" s="82">
        <f t="shared" si="12"/>
        <v>1.1508450722955359E-2</v>
      </c>
      <c r="J43" s="82">
        <f t="shared" si="12"/>
        <v>7.3955058372862231E-3</v>
      </c>
      <c r="K43" s="83">
        <f t="shared" si="7"/>
        <v>-4.1129448856691356E-3</v>
      </c>
      <c r="L43" s="68"/>
      <c r="M43" s="82">
        <f t="shared" ref="M43:N43" si="13">M41-M42</f>
        <v>1.8575796192106642E-2</v>
      </c>
      <c r="N43" s="82">
        <f t="shared" si="13"/>
        <v>1.8140487803306161E-2</v>
      </c>
      <c r="O43" s="83">
        <f t="shared" si="11"/>
        <v>-4.3530838880048023E-4</v>
      </c>
      <c r="P43" s="56"/>
    </row>
    <row r="44" spans="2:16" x14ac:dyDescent="0.25">
      <c r="B44" s="66" t="s">
        <v>122</v>
      </c>
      <c r="C44" s="84">
        <v>14.3</v>
      </c>
      <c r="D44" s="84">
        <v>15</v>
      </c>
      <c r="E44" s="84">
        <v>15.3</v>
      </c>
      <c r="F44" s="84">
        <v>16</v>
      </c>
      <c r="G44" s="84">
        <v>16.2</v>
      </c>
      <c r="H44" s="84">
        <v>15.9</v>
      </c>
      <c r="I44" s="84">
        <v>15.7568085397094</v>
      </c>
      <c r="J44" s="84">
        <v>16.516521385410659</v>
      </c>
      <c r="K44" s="84">
        <f t="shared" si="7"/>
        <v>0.75971284570125874</v>
      </c>
      <c r="L44" s="68"/>
      <c r="M44" s="84">
        <v>8.1907515269456965</v>
      </c>
      <c r="N44" s="84">
        <v>8.3446979185380528</v>
      </c>
      <c r="O44" s="84">
        <f t="shared" si="11"/>
        <v>0.15394639159235624</v>
      </c>
      <c r="P44" s="56"/>
    </row>
    <row r="45" spans="2:16" x14ac:dyDescent="0.25">
      <c r="B45" s="14" t="s">
        <v>123</v>
      </c>
      <c r="C45" s="81"/>
      <c r="D45" s="81"/>
      <c r="E45" s="81"/>
      <c r="F45" s="81"/>
      <c r="G45" s="81"/>
      <c r="H45" s="81"/>
      <c r="I45" s="81"/>
      <c r="J45" s="81"/>
      <c r="K45" s="81"/>
      <c r="L45" s="74"/>
      <c r="M45" s="81"/>
      <c r="N45" s="81"/>
      <c r="O45" s="81"/>
      <c r="P45" s="56"/>
    </row>
    <row r="46" spans="2:16" x14ac:dyDescent="0.25">
      <c r="B46" s="66" t="s">
        <v>119</v>
      </c>
      <c r="C46" s="82">
        <v>6.6100000000000006E-2</v>
      </c>
      <c r="D46" s="82">
        <v>6.6100000000000006E-2</v>
      </c>
      <c r="E46" s="82">
        <v>7.6100000000000001E-2</v>
      </c>
      <c r="F46" s="83">
        <v>7.6316666666666672E-2</v>
      </c>
      <c r="G46" s="83">
        <v>7.4955134146130781E-2</v>
      </c>
      <c r="H46" s="83">
        <v>7.3127731018089281E-2</v>
      </c>
      <c r="I46" s="83">
        <v>7.1499999999999994E-2</v>
      </c>
      <c r="J46" s="83">
        <v>6.6199999999999995E-2</v>
      </c>
      <c r="K46" s="83">
        <f t="shared" si="7"/>
        <v>-5.2999999999999992E-3</v>
      </c>
      <c r="L46" s="68"/>
      <c r="M46" s="83">
        <v>6.6199999999999995E-2</v>
      </c>
      <c r="N46" s="83">
        <v>6.5000000000000002E-2</v>
      </c>
      <c r="O46" s="83">
        <f t="shared" ref="O46:O49" si="14">N46-M46</f>
        <v>-1.1999999999999927E-3</v>
      </c>
      <c r="P46" s="56"/>
    </row>
    <row r="47" spans="2:16" x14ac:dyDescent="0.25">
      <c r="B47" s="66" t="s">
        <v>120</v>
      </c>
      <c r="C47" s="82">
        <v>7.2000000000000008E-2</v>
      </c>
      <c r="D47" s="82">
        <v>7.0200000000000012E-2</v>
      </c>
      <c r="E47" s="82">
        <v>6.7799999999999999E-2</v>
      </c>
      <c r="F47" s="83">
        <v>6.1040921531194961E-2</v>
      </c>
      <c r="G47" s="83">
        <v>6.0422329224719774E-2</v>
      </c>
      <c r="H47" s="83">
        <v>5.4954367895907096E-2</v>
      </c>
      <c r="I47" s="83">
        <v>5.756612038884245E-2</v>
      </c>
      <c r="J47" s="83">
        <v>5.3489093013954069E-2</v>
      </c>
      <c r="K47" s="83">
        <f t="shared" si="7"/>
        <v>-4.0770273748883812E-3</v>
      </c>
      <c r="L47" s="68"/>
      <c r="M47" s="83">
        <v>4.9797188247467788E-2</v>
      </c>
      <c r="N47" s="83">
        <v>5.1204732113024266E-2</v>
      </c>
      <c r="O47" s="83">
        <f t="shared" si="14"/>
        <v>1.4075438655564779E-3</v>
      </c>
      <c r="P47" s="56"/>
    </row>
    <row r="48" spans="2:16" x14ac:dyDescent="0.25">
      <c r="B48" s="66" t="s">
        <v>121</v>
      </c>
      <c r="C48" s="82">
        <f>C46-C47</f>
        <v>-5.9000000000000025E-3</v>
      </c>
      <c r="D48" s="82">
        <f>D46-D47</f>
        <v>-4.1000000000000064E-3</v>
      </c>
      <c r="E48" s="82">
        <f>E46-E47</f>
        <v>8.3000000000000018E-3</v>
      </c>
      <c r="F48" s="83">
        <v>1.5275745135471711E-2</v>
      </c>
      <c r="G48" s="82">
        <f t="shared" ref="G48:J48" si="15">G46-G47</f>
        <v>1.4532804921411006E-2</v>
      </c>
      <c r="H48" s="82">
        <f t="shared" si="15"/>
        <v>1.8173363122182186E-2</v>
      </c>
      <c r="I48" s="82">
        <f t="shared" si="15"/>
        <v>1.3933879611157544E-2</v>
      </c>
      <c r="J48" s="82">
        <f t="shared" si="15"/>
        <v>1.2710906986045926E-2</v>
      </c>
      <c r="K48" s="83">
        <f t="shared" si="7"/>
        <v>-1.222972625111618E-3</v>
      </c>
      <c r="L48" s="68"/>
      <c r="M48" s="82">
        <f t="shared" ref="M48:N48" si="16">M46-M47</f>
        <v>1.6402811752532206E-2</v>
      </c>
      <c r="N48" s="82">
        <f t="shared" si="16"/>
        <v>1.3795267886975736E-2</v>
      </c>
      <c r="O48" s="83">
        <f t="shared" si="14"/>
        <v>-2.6075438655564706E-3</v>
      </c>
      <c r="P48" s="56"/>
    </row>
    <row r="49" spans="2:16" x14ac:dyDescent="0.25">
      <c r="B49" s="66" t="s">
        <v>122</v>
      </c>
      <c r="C49" s="84">
        <v>11.1</v>
      </c>
      <c r="D49" s="84">
        <v>11.6</v>
      </c>
      <c r="E49" s="84">
        <v>11.9</v>
      </c>
      <c r="F49" s="84">
        <v>12.3</v>
      </c>
      <c r="G49" s="84">
        <v>12.6</v>
      </c>
      <c r="H49" s="84">
        <v>12.4</v>
      </c>
      <c r="I49" s="84">
        <v>12.098271876945752</v>
      </c>
      <c r="J49" s="84">
        <v>12.639582102216716</v>
      </c>
      <c r="K49" s="84">
        <f t="shared" si="7"/>
        <v>0.54131022527096384</v>
      </c>
      <c r="L49" s="68"/>
      <c r="M49" s="84">
        <v>6.3231255238401953</v>
      </c>
      <c r="N49" s="84">
        <v>6.5755236056707504</v>
      </c>
      <c r="O49" s="84">
        <f t="shared" si="14"/>
        <v>0.25239808183055512</v>
      </c>
      <c r="P49" s="56"/>
    </row>
    <row r="50" spans="2:16" x14ac:dyDescent="0.25">
      <c r="B50" s="14" t="s">
        <v>124</v>
      </c>
      <c r="C50" s="81"/>
      <c r="D50" s="81"/>
      <c r="E50" s="81"/>
      <c r="F50" s="81"/>
      <c r="G50" s="81"/>
      <c r="H50" s="81"/>
      <c r="I50" s="81"/>
      <c r="J50" s="81"/>
      <c r="K50" s="81"/>
      <c r="L50" s="74"/>
      <c r="M50" s="81"/>
      <c r="N50" s="81"/>
      <c r="O50" s="81"/>
      <c r="P50" s="56"/>
    </row>
    <row r="51" spans="2:16" x14ac:dyDescent="0.25">
      <c r="B51" s="66" t="s">
        <v>119</v>
      </c>
      <c r="C51" s="82">
        <v>0.1124</v>
      </c>
      <c r="D51" s="82">
        <v>0.1171</v>
      </c>
      <c r="E51" s="82">
        <v>0.13589999999999999</v>
      </c>
      <c r="F51" s="82">
        <v>0.13320000000000001</v>
      </c>
      <c r="G51" s="83">
        <v>0.1234</v>
      </c>
      <c r="H51" s="83">
        <v>0.11736455562286591</v>
      </c>
      <c r="I51" s="83">
        <v>0.1154</v>
      </c>
      <c r="J51" s="83">
        <v>0.1143</v>
      </c>
      <c r="K51" s="83">
        <f t="shared" si="7"/>
        <v>-1.1000000000000038E-3</v>
      </c>
      <c r="L51" s="68"/>
      <c r="M51" s="83">
        <v>0.1143</v>
      </c>
      <c r="N51" s="83">
        <v>0.11539999999999999</v>
      </c>
      <c r="O51" s="83">
        <f t="shared" ref="O51:O54" si="17">N51-M51</f>
        <v>1.0999999999999899E-3</v>
      </c>
      <c r="P51" s="56"/>
    </row>
    <row r="52" spans="2:16" x14ac:dyDescent="0.25">
      <c r="B52" s="66" t="s">
        <v>120</v>
      </c>
      <c r="C52" s="82">
        <v>0.1318</v>
      </c>
      <c r="D52" s="82">
        <v>0.12498657911970756</v>
      </c>
      <c r="E52" s="82">
        <v>0.12119999999999999</v>
      </c>
      <c r="F52" s="82">
        <v>0.1136432884121565</v>
      </c>
      <c r="G52" s="83">
        <v>0.11852468775041411</v>
      </c>
      <c r="H52" s="83">
        <v>0.11381892467839186</v>
      </c>
      <c r="I52" s="83">
        <v>0.11403420074108145</v>
      </c>
      <c r="J52" s="83">
        <v>0.11296621112850605</v>
      </c>
      <c r="K52" s="83">
        <f t="shared" si="7"/>
        <v>-1.0679896125753985E-3</v>
      </c>
      <c r="L52" s="68"/>
      <c r="M52" s="83">
        <v>0.11465404136919347</v>
      </c>
      <c r="N52" s="83">
        <v>0.12269458149640017</v>
      </c>
      <c r="O52" s="83">
        <f t="shared" si="17"/>
        <v>8.0405401272067023E-3</v>
      </c>
      <c r="P52" s="56"/>
    </row>
    <row r="53" spans="2:16" x14ac:dyDescent="0.25">
      <c r="B53" s="66" t="s">
        <v>121</v>
      </c>
      <c r="C53" s="82">
        <f>C51-C52</f>
        <v>-1.9400000000000001E-2</v>
      </c>
      <c r="D53" s="82">
        <f>D51-D52</f>
        <v>-7.886579119707568E-3</v>
      </c>
      <c r="E53" s="82">
        <f>E51-E52</f>
        <v>1.4700000000000005E-2</v>
      </c>
      <c r="F53" s="82">
        <v>1.9556711587843514E-2</v>
      </c>
      <c r="G53" s="82">
        <f t="shared" ref="G53:H53" si="18">G51-G52</f>
        <v>4.8753122495858864E-3</v>
      </c>
      <c r="H53" s="82">
        <f t="shared" si="18"/>
        <v>3.5456309444740486E-3</v>
      </c>
      <c r="I53" s="82">
        <f>I51-I52</f>
        <v>1.3657992589185541E-3</v>
      </c>
      <c r="J53" s="82">
        <v>1.3337888714939489E-3</v>
      </c>
      <c r="K53" s="83">
        <f t="shared" si="7"/>
        <v>-3.2010387424605269E-5</v>
      </c>
      <c r="L53" s="68"/>
      <c r="M53" s="82">
        <v>-3.5404136919346685E-4</v>
      </c>
      <c r="N53" s="82">
        <f t="shared" ref="N53" si="19">N51-N52</f>
        <v>-7.2945814964001793E-3</v>
      </c>
      <c r="O53" s="83">
        <f t="shared" si="17"/>
        <v>-6.9405401272067124E-3</v>
      </c>
      <c r="P53" s="56"/>
    </row>
    <row r="54" spans="2:16" x14ac:dyDescent="0.25">
      <c r="B54" s="66" t="s">
        <v>122</v>
      </c>
      <c r="C54" s="84">
        <v>14.9</v>
      </c>
      <c r="D54" s="84">
        <v>15.7</v>
      </c>
      <c r="E54" s="84">
        <v>16.3</v>
      </c>
      <c r="F54" s="84">
        <v>17.2</v>
      </c>
      <c r="G54" s="84">
        <v>17.399999999999999</v>
      </c>
      <c r="H54" s="84">
        <v>17.600000000000001</v>
      </c>
      <c r="I54" s="84">
        <v>18.197716268826294</v>
      </c>
      <c r="J54" s="84">
        <v>18.80675140622996</v>
      </c>
      <c r="K54" s="84">
        <f t="shared" si="7"/>
        <v>0.60903513740366577</v>
      </c>
      <c r="L54" s="68"/>
      <c r="M54" s="84">
        <v>8.7759199705798068</v>
      </c>
      <c r="N54" s="84">
        <v>8.9504940436631983</v>
      </c>
      <c r="O54" s="84">
        <f t="shared" si="17"/>
        <v>0.17457407308339157</v>
      </c>
      <c r="P54" s="56"/>
    </row>
    <row r="55" spans="2:16" x14ac:dyDescent="0.25">
      <c r="B55" s="14" t="s">
        <v>101</v>
      </c>
      <c r="C55" s="81"/>
      <c r="D55" s="81"/>
      <c r="E55" s="81"/>
      <c r="F55" s="81"/>
      <c r="G55" s="81"/>
      <c r="H55" s="81"/>
      <c r="I55" s="81"/>
      <c r="J55" s="81"/>
      <c r="K55" s="81"/>
      <c r="L55" s="68"/>
      <c r="M55" s="81"/>
      <c r="N55" s="81"/>
      <c r="O55" s="81"/>
      <c r="P55" s="56"/>
    </row>
    <row r="56" spans="2:16" x14ac:dyDescent="0.25">
      <c r="B56" s="66" t="s">
        <v>125</v>
      </c>
      <c r="C56" s="51">
        <v>7</v>
      </c>
      <c r="D56" s="51">
        <v>17</v>
      </c>
      <c r="E56" s="51">
        <v>36</v>
      </c>
      <c r="F56" s="51">
        <v>206</v>
      </c>
      <c r="G56" s="51">
        <v>314</v>
      </c>
      <c r="H56" s="51">
        <v>329</v>
      </c>
      <c r="I56" s="51">
        <v>315</v>
      </c>
      <c r="J56" s="51">
        <v>317.80665096400003</v>
      </c>
      <c r="K56" s="51">
        <f t="shared" si="7"/>
        <v>2.8066509640000277</v>
      </c>
      <c r="L56" s="68"/>
      <c r="M56" s="51">
        <v>133</v>
      </c>
      <c r="N56" s="51">
        <f>N10-N57</f>
        <v>320</v>
      </c>
      <c r="O56" s="51">
        <f t="shared" ref="O56:O57" si="20">N56-M56</f>
        <v>187</v>
      </c>
      <c r="P56" s="56"/>
    </row>
    <row r="57" spans="2:16" x14ac:dyDescent="0.25">
      <c r="B57" s="66" t="s">
        <v>126</v>
      </c>
      <c r="C57" s="51">
        <v>0</v>
      </c>
      <c r="D57" s="51">
        <v>0</v>
      </c>
      <c r="E57" s="51">
        <v>18</v>
      </c>
      <c r="F57" s="51">
        <v>71</v>
      </c>
      <c r="G57" s="51">
        <v>99</v>
      </c>
      <c r="H57" s="51">
        <v>137</v>
      </c>
      <c r="I57" s="51">
        <v>131</v>
      </c>
      <c r="J57" s="51">
        <v>104.42475368000001</v>
      </c>
      <c r="K57" s="51">
        <f t="shared" si="7"/>
        <v>-26.575246319999991</v>
      </c>
      <c r="L57" s="68"/>
      <c r="M57" s="51">
        <v>49</v>
      </c>
      <c r="N57" s="51">
        <v>66</v>
      </c>
      <c r="O57" s="51">
        <f t="shared" si="20"/>
        <v>17</v>
      </c>
      <c r="P57" s="56"/>
    </row>
    <row r="58" spans="2:16" x14ac:dyDescent="0.25">
      <c r="B58" s="14" t="s">
        <v>37</v>
      </c>
      <c r="C58" s="81"/>
      <c r="D58" s="81"/>
      <c r="E58" s="81"/>
      <c r="F58" s="81"/>
      <c r="G58" s="81"/>
      <c r="H58" s="81"/>
      <c r="I58" s="81"/>
      <c r="J58" s="81"/>
      <c r="K58" s="81"/>
      <c r="L58" s="74"/>
      <c r="M58" s="81"/>
      <c r="N58" s="81"/>
      <c r="O58" s="81"/>
      <c r="P58" s="56"/>
    </row>
    <row r="59" spans="2:16" x14ac:dyDescent="0.25">
      <c r="B59" s="3" t="s">
        <v>127</v>
      </c>
      <c r="C59" s="85">
        <v>207106</v>
      </c>
      <c r="D59" s="85">
        <v>211378</v>
      </c>
      <c r="E59" s="85">
        <v>217853</v>
      </c>
      <c r="F59" s="85">
        <v>219920</v>
      </c>
      <c r="G59" s="85">
        <v>226708</v>
      </c>
      <c r="H59" s="85">
        <v>231582</v>
      </c>
      <c r="I59" s="85">
        <v>236064</v>
      </c>
      <c r="J59" s="85">
        <v>309907</v>
      </c>
      <c r="K59" s="85">
        <f t="shared" si="7"/>
        <v>73843</v>
      </c>
      <c r="L59" s="68"/>
      <c r="M59" s="85">
        <v>244880.28000000003</v>
      </c>
      <c r="N59" s="85">
        <v>315241.92999999993</v>
      </c>
      <c r="O59" s="85">
        <f t="shared" ref="O59:O60" si="21">N59-M59</f>
        <v>70361.649999999907</v>
      </c>
      <c r="P59" s="56"/>
    </row>
    <row r="60" spans="2:16" x14ac:dyDescent="0.25">
      <c r="B60" s="3" t="s">
        <v>128</v>
      </c>
      <c r="C60" s="86">
        <v>9.9</v>
      </c>
      <c r="D60" s="86">
        <v>10.199999999999999</v>
      </c>
      <c r="E60" s="86">
        <v>10.5</v>
      </c>
      <c r="F60" s="86">
        <v>10.9</v>
      </c>
      <c r="G60" s="86">
        <v>10.9</v>
      </c>
      <c r="H60" s="86">
        <v>11.2</v>
      </c>
      <c r="I60" s="86">
        <v>11.446</v>
      </c>
      <c r="J60" s="86">
        <v>11.686964</v>
      </c>
      <c r="K60" s="86">
        <f t="shared" si="7"/>
        <v>0.24096399999999996</v>
      </c>
      <c r="L60" s="68"/>
      <c r="M60" s="86">
        <v>11.582611999999999</v>
      </c>
      <c r="N60" s="86">
        <v>11.780312</v>
      </c>
      <c r="O60" s="86">
        <f t="shared" si="21"/>
        <v>0.1977000000000011</v>
      </c>
      <c r="P60" s="56"/>
    </row>
    <row r="61" spans="2:16" x14ac:dyDescent="0.25">
      <c r="C61" s="87"/>
      <c r="D61" s="87"/>
      <c r="E61" s="87"/>
      <c r="F61" s="49"/>
      <c r="G61" s="49"/>
      <c r="H61" s="49"/>
      <c r="I61" s="49"/>
      <c r="J61" s="49"/>
      <c r="K61" s="49"/>
      <c r="L61" s="68"/>
      <c r="M61" s="68"/>
      <c r="N61" s="68"/>
      <c r="O61" s="68"/>
      <c r="P61" s="56"/>
    </row>
    <row r="62" spans="2:16" x14ac:dyDescent="0.25">
      <c r="C62" s="88"/>
      <c r="D62" s="88"/>
      <c r="E62" s="88"/>
      <c r="F62" s="88"/>
      <c r="G62" s="88"/>
      <c r="H62" s="88"/>
      <c r="I62" s="88"/>
      <c r="J62" s="88"/>
      <c r="K62" s="49"/>
      <c r="L62" s="68"/>
      <c r="M62" s="75"/>
      <c r="N62" s="75"/>
      <c r="O62" s="68"/>
    </row>
    <row r="63" spans="2:16" x14ac:dyDescent="0.25">
      <c r="C63" s="49"/>
      <c r="D63" s="49"/>
      <c r="E63" s="49"/>
      <c r="F63" s="49"/>
      <c r="G63" s="49"/>
      <c r="H63" s="88"/>
      <c r="I63" s="88"/>
      <c r="J63" s="49"/>
      <c r="K63" s="49"/>
      <c r="L63" s="68"/>
      <c r="M63" s="75"/>
      <c r="N63" s="75"/>
      <c r="O63" s="68"/>
    </row>
    <row r="64" spans="2:16" x14ac:dyDescent="0.25">
      <c r="H64" s="1"/>
      <c r="I64" s="1"/>
      <c r="J64" s="1"/>
      <c r="M64" s="89"/>
      <c r="N64" s="89"/>
    </row>
    <row r="66" spans="3:11" x14ac:dyDescent="0.25">
      <c r="C66" s="1"/>
      <c r="D66" s="1"/>
      <c r="E66" s="1"/>
      <c r="F66" s="1"/>
      <c r="G66" s="1"/>
      <c r="H66" s="1"/>
      <c r="I66" s="1"/>
      <c r="J66" s="1"/>
      <c r="K66" s="1"/>
    </row>
  </sheetData>
  <pageMargins left="0.7" right="0.7" top="0.75" bottom="0.75" header="0.3" footer="0.3"/>
  <pageSetup paperSize="9" scale="46" orientation="portrait" r:id="rId1"/>
  <headerFooter>
    <oddFooter>&amp;R&amp;"verdana,Regular"Genele Açık</oddFooter>
  </headerFooter>
</worksheet>
</file>

<file path=customMetadata/metadata.xml><?xml version="1.0" encoding="utf-8"?>
<metadata xmlns:m="ENERJISA" id="d0f71594-81fe-402c-8b96-c2ef5a8aee3d">
  <m:CLASSIFICATION value="I4886p293727nO8">
    <alt>CLASSIFICATION=I4886p293727nO8</alt>
  </m:CLASSIFICATION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Burak SIMSEK</cp:lastModifiedBy>
  <cp:lastPrinted>2022-08-09T14:07:33Z</cp:lastPrinted>
  <dcterms:created xsi:type="dcterms:W3CDTF">2022-08-09T07:53:38Z</dcterms:created>
  <dcterms:modified xsi:type="dcterms:W3CDTF">2022-08-09T14:07:42Z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6d081d42-3af5-4720-9d03-0ab712d2ec6f</vt:lpwstr>
  </property>
  <property fmtid="{D5CDD505-2E9C-101B-9397-08002B2CF9AE}" pid="3" name="FirstClassifierName">
    <vt:lpwstr>Burak SIMSEK</vt:lpwstr>
  </property>
  <property fmtid="{D5CDD505-2E9C-101B-9397-08002B2CF9AE}" pid="4" name="FirstClassifiedDate">
    <vt:lpwstr>09.08.2022, 11:11</vt:lpwstr>
  </property>
  <property fmtid="{D5CDD505-2E9C-101B-9397-08002B2CF9AE}" pid="5" name="LastClassifiedDate">
    <vt:lpwstr>09.08.2022, 11:11</vt:lpwstr>
  </property>
  <property fmtid="{D5CDD505-2E9C-101B-9397-08002B2CF9AE}" pid="6" name="LastClassifierName">
    <vt:lpwstr>Burak SIMSEK</vt:lpwstr>
  </property>
  <property fmtid="{D5CDD505-2E9C-101B-9397-08002B2CF9AE}" pid="7" name="CLASSIFICATION">
    <vt:lpwstr>I4886p293727nO8</vt:lpwstr>
  </property>
</Properties>
</file>