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21\03Nov\Fact Sheet\"/>
    </mc:Choice>
  </mc:AlternateContent>
  <bookViews>
    <workbookView xWindow="0" yWindow="0" windowWidth="19200" windowHeight="7050"/>
  </bookViews>
  <sheets>
    <sheet name="FactSheet_Cons" sheetId="1" r:id="rId1"/>
    <sheet name="FactSheet _Retail" sheetId="2" r:id="rId2"/>
    <sheet name="FactSheet_Disco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1" hidden="1">[1]TABLO!#REF!</definedName>
    <definedName name="__123Graph_A" localSheetId="0" hidden="1">[1]TABLO!#REF!</definedName>
    <definedName name="__123Graph_A" hidden="1">[1]TABLO!#REF!</definedName>
    <definedName name="__123Graph_ARISK" localSheetId="1" hidden="1">#REF!</definedName>
    <definedName name="__123Graph_ARISK" localSheetId="0" hidden="1">#REF!</definedName>
    <definedName name="__123Graph_ARISK" hidden="1">#REF!</definedName>
    <definedName name="__123Graph_B" localSheetId="1" hidden="1">[2]FONKON2005!#REF!</definedName>
    <definedName name="__123Graph_B" localSheetId="0" hidden="1">[2]FONKON2005!#REF!</definedName>
    <definedName name="__123Graph_B" hidden="1">[2]FONKON2005!#REF!</definedName>
    <definedName name="__123Graph_BRISK" localSheetId="1" hidden="1">#REF!</definedName>
    <definedName name="__123Graph_BRISK" localSheetId="0" hidden="1">#REF!</definedName>
    <definedName name="__123Graph_BRISK" hidden="1">#REF!</definedName>
    <definedName name="__123Graph_C" localSheetId="1" hidden="1">[2]FONKON2005!#REF!</definedName>
    <definedName name="__123Graph_C" localSheetId="0" hidden="1">[2]FONKON2005!#REF!</definedName>
    <definedName name="__123Graph_C" hidden="1">[2]FONKON2005!#REF!</definedName>
    <definedName name="__123Graph_D" localSheetId="1" hidden="1">[2]FONKON2005!#REF!</definedName>
    <definedName name="__123Graph_D" localSheetId="0" hidden="1">[2]FONKON2005!#REF!</definedName>
    <definedName name="__123Graph_D" hidden="1">[2]FONKON2005!#REF!</definedName>
    <definedName name="__123Graph_E" localSheetId="1" hidden="1">[2]FONKON2005!#REF!</definedName>
    <definedName name="__123Graph_E" localSheetId="0" hidden="1">[2]FONKON2005!#REF!</definedName>
    <definedName name="__123Graph_E" hidden="1">[2]FONKON2005!#REF!</definedName>
    <definedName name="__123Graph_F" localSheetId="1" hidden="1">[2]FONKON2005!#REF!</definedName>
    <definedName name="__123Graph_F" localSheetId="0" hidden="1">[2]FONKON2005!#REF!</definedName>
    <definedName name="__123Graph_F" hidden="1">[2]FONKON2005!#REF!</definedName>
    <definedName name="__123Graph_X" localSheetId="1" hidden="1">[2]FONKON2005!#REF!</definedName>
    <definedName name="__123Graph_X" localSheetId="0" hidden="1">[2]FONKON2005!#REF!</definedName>
    <definedName name="__123Graph_X" hidden="1">[2]FONKON2005!#REF!</definedName>
    <definedName name="__new2" hidden="1">0</definedName>
    <definedName name="_1_________________________0_S" localSheetId="1" hidden="1">[3]SEMANAIS!#REF!</definedName>
    <definedName name="_1_________________________0_S" localSheetId="0" hidden="1">[3]SEMANAIS!#REF!</definedName>
    <definedName name="_1_________________________0_S" hidden="1">[3]SEMANAIS!#REF!</definedName>
    <definedName name="_10____0_S" localSheetId="1" hidden="1">[3]SEMANAIS!#REF!</definedName>
    <definedName name="_10____0_S" localSheetId="0" hidden="1">[3]SEMANAIS!#REF!</definedName>
    <definedName name="_10____0_S" hidden="1">[3]SEMANAIS!#REF!</definedName>
    <definedName name="_11___0_S" localSheetId="1" hidden="1">[3]SEMANAIS!#REF!</definedName>
    <definedName name="_11___0_S" localSheetId="0" hidden="1">[3]SEMANAIS!#REF!</definedName>
    <definedName name="_11___0_S" hidden="1">[3]SEMANAIS!#REF!</definedName>
    <definedName name="_12_0_S" localSheetId="1" hidden="1">[3]SEMANAIS!#REF!</definedName>
    <definedName name="_12_0_S" localSheetId="0" hidden="1">[3]SEMANAIS!#REF!</definedName>
    <definedName name="_12_0_S" hidden="1">[3]SEMANAIS!#REF!</definedName>
    <definedName name="_2________________________0_S" localSheetId="1" hidden="1">[3]SEMANAIS!#REF!</definedName>
    <definedName name="_2________________________0_S" localSheetId="0" hidden="1">[3]SEMANAIS!#REF!</definedName>
    <definedName name="_2________________________0_S" hidden="1">[3]SEMANAIS!#REF!</definedName>
    <definedName name="_2S" localSheetId="1" hidden="1">[3]SEMANAIS!#REF!</definedName>
    <definedName name="_2S" localSheetId="0" hidden="1">[3]SEMANAIS!#REF!</definedName>
    <definedName name="_2S" hidden="1">[3]SEMANAIS!#REF!</definedName>
    <definedName name="_3_______________________0_S" localSheetId="1" hidden="1">[3]SEMANAIS!#REF!</definedName>
    <definedName name="_3_______________________0_S" localSheetId="0" hidden="1">[3]SEMANAIS!#REF!</definedName>
    <definedName name="_3_______________________0_S" hidden="1">[3]SEMANAIS!#REF!</definedName>
    <definedName name="_4______________________0_S" localSheetId="1" hidden="1">[3]SEMANAIS!#REF!</definedName>
    <definedName name="_4______________________0_S" localSheetId="0" hidden="1">[3]SEMANAIS!#REF!</definedName>
    <definedName name="_4______________________0_S" hidden="1">[3]SEMANAIS!#REF!</definedName>
    <definedName name="_5_____________________0_S" localSheetId="1" hidden="1">[3]SEMANAIS!#REF!</definedName>
    <definedName name="_5_____________________0_S" localSheetId="0" hidden="1">[3]SEMANAIS!#REF!</definedName>
    <definedName name="_5_____________________0_S" hidden="1">[3]SEMANAIS!#REF!</definedName>
    <definedName name="_6____________________0_S" localSheetId="1" hidden="1">[3]SEMANAIS!#REF!</definedName>
    <definedName name="_6____________________0_S" localSheetId="0" hidden="1">[3]SEMANAIS!#REF!</definedName>
    <definedName name="_6____________________0_S" hidden="1">[3]SEMANAIS!#REF!</definedName>
    <definedName name="_7___________________0_S" localSheetId="1" hidden="1">[3]SEMANAIS!#REF!</definedName>
    <definedName name="_7___________________0_S" localSheetId="0" hidden="1">[3]SEMANAIS!#REF!</definedName>
    <definedName name="_7___________________0_S" hidden="1">[3]SEMANAIS!#REF!</definedName>
    <definedName name="_8__________________0_S" localSheetId="1" hidden="1">[3]SEMANAIS!#REF!</definedName>
    <definedName name="_8__________________0_S" localSheetId="0" hidden="1">[3]SEMANAIS!#REF!</definedName>
    <definedName name="_8__________________0_S" hidden="1">[3]SEMANAIS!#REF!</definedName>
    <definedName name="_9_____0_S" localSheetId="1" hidden="1">[3]SEMANAIS!#REF!</definedName>
    <definedName name="_9_____0_S" localSheetId="0" hidden="1">[3]SEMANAIS!#REF!</definedName>
    <definedName name="_9_____0_S" hidden="1">[3]SEMANAIS!#REF!</definedName>
    <definedName name="_AtRisk_FitDataRange_FIT_40D80_80F43" localSheetId="1" hidden="1">[4]RD_Hydro_RunOfRiver!#REF!</definedName>
    <definedName name="_AtRisk_FitDataRange_FIT_40D80_80F43" localSheetId="0" hidden="1">[4]RD_Hydro_RunOfRiver!#REF!</definedName>
    <definedName name="_AtRisk_FitDataRange_FIT_40D80_80F43" hidden="1">[4]RD_Hydro_RunOfRiver!#REF!</definedName>
    <definedName name="_AtRisk_FitDataRange_FIT_7BE51_C172" localSheetId="1" hidden="1">#REF!</definedName>
    <definedName name="_AtRisk_FitDataRange_FIT_7BE51_C172" localSheetId="0" hidden="1">#REF!</definedName>
    <definedName name="_AtRisk_FitDataRange_FIT_7BE51_C172" hidden="1">#REF!</definedName>
    <definedName name="_AtRisk_FitDataRange_FIT_A9C82_40FC4" localSheetId="1" hidden="1">#REF!</definedName>
    <definedName name="_AtRisk_FitDataRange_FIT_A9C82_40FC4" localSheetId="0" hidden="1">#REF!</definedName>
    <definedName name="_AtRisk_FitDataRange_FIT_A9C82_40FC4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hidden="1">[5]INVESTISSEMENTS!$A$2:$L$113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1" hidden="1">#REF!</definedName>
    <definedName name="_Sort" localSheetId="0" hidden="1">#REF!</definedName>
    <definedName name="_Sort" hidden="1">#REF!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1" hidden="1">#REF!</definedName>
    <definedName name="Code" localSheetId="0" hidden="1">#REF!</definedName>
    <definedName name="Code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1" hidden="1">#REF!</definedName>
    <definedName name="data2" localSheetId="0" hidden="1">#REF!</definedName>
    <definedName name="data2" hidden="1">#REF!</definedName>
    <definedName name="data3" localSheetId="1" hidden="1">#REF!</definedName>
    <definedName name="data3" localSheetId="0" hidden="1">#REF!</definedName>
    <definedName name="data3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1" hidden="1">#REF!</definedName>
    <definedName name="Discount" localSheetId="0" hidden="1">#REF!</definedName>
    <definedName name="Discount" hidden="1">#REF!</definedName>
    <definedName name="display_area_2" localSheetId="1" hidden="1">#REF!</definedName>
    <definedName name="display_area_2" localSheetId="0" hidden="1">#REF!</definedName>
    <definedName name="display_area_2" hidden="1">#REF!</definedName>
    <definedName name="disposal2005" localSheetId="1" hidden="1">Main.SAPF4Help()</definedName>
    <definedName name="disposal2005" localSheetId="0" hidden="1">Main.SAPF4Help()</definedName>
    <definedName name="disposal2005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1" hidden="1">#REF!</definedName>
    <definedName name="et4rtretg" localSheetId="0" hidden="1">#REF!</definedName>
    <definedName name="et4rtretg" hidden="1">#REF!</definedName>
    <definedName name="etrt" localSheetId="1" hidden="1">#REF!</definedName>
    <definedName name="etrt" localSheetId="0" hidden="1">#REF!</definedName>
    <definedName name="etrt" hidden="1">#REF!</definedName>
    <definedName name="etter" localSheetId="1" hidden="1">#REF!</definedName>
    <definedName name="etter" localSheetId="0" hidden="1">#REF!</definedName>
    <definedName name="etter" hidden="1">#REF!</definedName>
    <definedName name="FCode" localSheetId="1" hidden="1">#REF!</definedName>
    <definedName name="FCode" localSheetId="0" hidden="1">#REF!</definedName>
    <definedName name="FCode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1" hidden="1">#REF!</definedName>
    <definedName name="HiddenRows" localSheetId="0" hidden="1">#REF!</definedName>
    <definedName name="HiddenRows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1" hidden="1">Main.SAPF4Help()</definedName>
    <definedName name="INDEXX" localSheetId="0" hidden="1">Main.SAPF4Help()</definedName>
    <definedName name="INDEXX" hidden="1">Main.SAPF4Help()</definedName>
    <definedName name="IQ_ADDIN" hidden="1">"AUTO"</definedName>
    <definedName name="KH" localSheetId="1" hidden="1">Main.SAPF4Help()</definedName>
    <definedName name="KH" localSheetId="0" hidden="1">Main.SAPF4Help()</definedName>
    <definedName name="KH" hidden="1">Main.SAPF4Help()</definedName>
    <definedName name="lşiiş" localSheetId="1" hidden="1">#REF!</definedName>
    <definedName name="lşiiş" localSheetId="0" hidden="1">#REF!</definedName>
    <definedName name="lşiiş" hidden="1">#REF!</definedName>
    <definedName name="lşilş" localSheetId="1" hidden="1">#REF!</definedName>
    <definedName name="lşilş" localSheetId="0" hidden="1">#REF!</definedName>
    <definedName name="lşilş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1" hidden="1">#REF!</definedName>
    <definedName name="OrderTable" localSheetId="0" hidden="1">#REF!</definedName>
    <definedName name="OrderTable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1" hidden="1">#REF!</definedName>
    <definedName name="ProdForm" localSheetId="0" hidden="1">#REF!</definedName>
    <definedName name="ProdForm" hidden="1">#REF!</definedName>
    <definedName name="Product" localSheetId="1" hidden="1">#REF!</definedName>
    <definedName name="Product" localSheetId="0" hidden="1">#REF!</definedName>
    <definedName name="Product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1" hidden="1">#REF!</definedName>
    <definedName name="RCArea" localSheetId="0" hidden="1">#REF!</definedName>
    <definedName name="RCArea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1" hidden="1">#REF!</definedName>
    <definedName name="rr" localSheetId="0" hidden="1">#REF!</definedName>
    <definedName name="rr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1" hidden="1">Main.SAPF4Help()</definedName>
    <definedName name="SAPFuncF4Help" localSheetId="0" hidden="1">Main.SAPF4Help()</definedName>
    <definedName name="SAPFuncF4Help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1" hidden="1">#REF!</definedName>
    <definedName name="SIG_CONTROLE" localSheetId="0" hidden="1">#REF!</definedName>
    <definedName name="SIG_CONTROLE" hidden="1">#REF!</definedName>
    <definedName name="SIG_YCPATB3_H0069" localSheetId="1" hidden="1">#REF!</definedName>
    <definedName name="SIG_YCPATB3_H0069" localSheetId="0" hidden="1">#REF!</definedName>
    <definedName name="SIG_YCPATB3_H0069" hidden="1">#REF!</definedName>
    <definedName name="SIG_YCPATB3_H0070" localSheetId="1" hidden="1">#REF!</definedName>
    <definedName name="SIG_YCPATB3_H0070" localSheetId="0" hidden="1">#REF!</definedName>
    <definedName name="SIG_YCPATB3_H0070" hidden="1">#REF!</definedName>
    <definedName name="SIG_YCPATB3_H0071" localSheetId="1" hidden="1">#REF!</definedName>
    <definedName name="SIG_YCPATB3_H0071" localSheetId="0" hidden="1">#REF!</definedName>
    <definedName name="SIG_YCPATB3_H0071" hidden="1">#REF!</definedName>
    <definedName name="SIG_YCPATB3_H0072" localSheetId="1" hidden="1">#REF!</definedName>
    <definedName name="SIG_YCPATB3_H0072" localSheetId="0" hidden="1">#REF!</definedName>
    <definedName name="SIG_YCPATB3_H0072" hidden="1">#REF!</definedName>
    <definedName name="SIG_YCPATB3_H0073" localSheetId="1" hidden="1">#REF!</definedName>
    <definedName name="SIG_YCPATB3_H0073" localSheetId="0" hidden="1">#REF!</definedName>
    <definedName name="SIG_YCPATB3_H0073" hidden="1">#REF!</definedName>
    <definedName name="SIG_YCPATB3_H0074" localSheetId="1" hidden="1">#REF!</definedName>
    <definedName name="SIG_YCPATB3_H0074" localSheetId="0" hidden="1">#REF!</definedName>
    <definedName name="SIG_YCPATB3_H0074" hidden="1">#REF!</definedName>
    <definedName name="SIG_YCPATB3_H0075" localSheetId="1" hidden="1">#REF!</definedName>
    <definedName name="SIG_YCPATB3_H0075" localSheetId="0" hidden="1">#REF!</definedName>
    <definedName name="SIG_YCPATB3_H0075" hidden="1">#REF!</definedName>
    <definedName name="SIG_YCPATB3_H0076" localSheetId="1" hidden="1">#REF!</definedName>
    <definedName name="SIG_YCPATB3_H0076" localSheetId="0" hidden="1">#REF!</definedName>
    <definedName name="SIG_YCPATB3_H0076" hidden="1">#REF!</definedName>
    <definedName name="SIG_YCPATB3_H0077" localSheetId="1" hidden="1">#REF!</definedName>
    <definedName name="SIG_YCPATB3_H0077" localSheetId="0" hidden="1">#REF!</definedName>
    <definedName name="SIG_YCPATB3_H0077" hidden="1">#REF!</definedName>
    <definedName name="SIG_YCPATB3_H0078" localSheetId="1" hidden="1">#REF!</definedName>
    <definedName name="SIG_YCPATB3_H0078" localSheetId="0" hidden="1">#REF!</definedName>
    <definedName name="SIG_YCPATB3_H0078" hidden="1">#REF!</definedName>
    <definedName name="SIG_YCPATB3_H0079" localSheetId="1" hidden="1">#REF!</definedName>
    <definedName name="SIG_YCPATB3_H0079" localSheetId="0" hidden="1">#REF!</definedName>
    <definedName name="SIG_YCPATB3_H0079" hidden="1">#REF!</definedName>
    <definedName name="SIG_YCPATB3_H0080" localSheetId="1" hidden="1">#REF!</definedName>
    <definedName name="SIG_YCPATB3_H0080" localSheetId="0" hidden="1">#REF!</definedName>
    <definedName name="SIG_YCPATB3_H0080" hidden="1">#REF!</definedName>
    <definedName name="SIG_YCPATB3_H0081" localSheetId="1" hidden="1">#REF!</definedName>
    <definedName name="SIG_YCPATB3_H0081" localSheetId="0" hidden="1">#REF!</definedName>
    <definedName name="SIG_YCPATB3_H0081" hidden="1">#REF!</definedName>
    <definedName name="SIG_YCPATB3_H0082" localSheetId="1" hidden="1">#REF!</definedName>
    <definedName name="SIG_YCPATB3_H0082" localSheetId="0" hidden="1">#REF!</definedName>
    <definedName name="SIG_YCPATB3_H0082" hidden="1">#REF!</definedName>
    <definedName name="SIG_YCPATB3_H0083" localSheetId="1" hidden="1">#REF!</definedName>
    <definedName name="SIG_YCPATB3_H0083" localSheetId="0" hidden="1">#REF!</definedName>
    <definedName name="SIG_YCPATB3_H0083" hidden="1">#REF!</definedName>
    <definedName name="SIG_YCPATB3_H0084" localSheetId="1" hidden="1">#REF!</definedName>
    <definedName name="SIG_YCPATB3_H0084" localSheetId="0" hidden="1">#REF!</definedName>
    <definedName name="SIG_YCPATB3_H0084" hidden="1">#REF!</definedName>
    <definedName name="SpecialPrice" localSheetId="1" hidden="1">#REF!</definedName>
    <definedName name="SpecialPrice" localSheetId="0" hidden="1">#REF!</definedName>
    <definedName name="SpecialPrice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1" hidden="1">#REF!</definedName>
    <definedName name="tbl_ProdInfo" localSheetId="0" hidden="1">#REF!</definedName>
    <definedName name="tbl_ProdInfo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0" i="3" l="1"/>
  <c r="J60" i="3"/>
  <c r="N59" i="3"/>
  <c r="J59" i="3"/>
  <c r="N57" i="3"/>
  <c r="J57" i="3"/>
  <c r="N56" i="3"/>
  <c r="J56" i="3"/>
  <c r="N54" i="3"/>
  <c r="J54" i="3"/>
  <c r="M53" i="3"/>
  <c r="I53" i="3"/>
  <c r="H53" i="3"/>
  <c r="G53" i="3"/>
  <c r="E53" i="3"/>
  <c r="D53" i="3"/>
  <c r="C53" i="3"/>
  <c r="N52" i="3"/>
  <c r="J52" i="3"/>
  <c r="N51" i="3"/>
  <c r="L53" i="3"/>
  <c r="J51" i="3"/>
  <c r="N49" i="3"/>
  <c r="J49" i="3"/>
  <c r="I48" i="3"/>
  <c r="H48" i="3"/>
  <c r="G48" i="3"/>
  <c r="E48" i="3"/>
  <c r="D48" i="3"/>
  <c r="C48" i="3"/>
  <c r="N47" i="3"/>
  <c r="J47" i="3"/>
  <c r="M48" i="3"/>
  <c r="L48" i="3"/>
  <c r="J46" i="3"/>
  <c r="N44" i="3"/>
  <c r="J44" i="3"/>
  <c r="M43" i="3"/>
  <c r="L43" i="3"/>
  <c r="I43" i="3"/>
  <c r="H43" i="3"/>
  <c r="G43" i="3"/>
  <c r="E43" i="3"/>
  <c r="D43" i="3"/>
  <c r="C43" i="3"/>
  <c r="N42" i="3"/>
  <c r="J42" i="3"/>
  <c r="N41" i="3"/>
  <c r="J41" i="3"/>
  <c r="H39" i="3"/>
  <c r="G39" i="3"/>
  <c r="F39" i="3"/>
  <c r="E39" i="3"/>
  <c r="D39" i="3"/>
  <c r="C39" i="3"/>
  <c r="M39" i="3"/>
  <c r="L39" i="3"/>
  <c r="N37" i="3"/>
  <c r="J37" i="3"/>
  <c r="N36" i="3"/>
  <c r="J36" i="3"/>
  <c r="N34" i="3"/>
  <c r="J34" i="3"/>
  <c r="N32" i="3"/>
  <c r="J32" i="3"/>
  <c r="J31" i="3"/>
  <c r="N30" i="3"/>
  <c r="I30" i="3"/>
  <c r="J30" i="3" s="1"/>
  <c r="N29" i="3"/>
  <c r="I29" i="3"/>
  <c r="I38" i="3" s="1"/>
  <c r="N28" i="3"/>
  <c r="M33" i="3"/>
  <c r="L33" i="3"/>
  <c r="I28" i="3"/>
  <c r="H28" i="3"/>
  <c r="G28" i="3"/>
  <c r="F28" i="3"/>
  <c r="E28" i="3"/>
  <c r="D28" i="3"/>
  <c r="I23" i="3"/>
  <c r="N22" i="3"/>
  <c r="J22" i="3"/>
  <c r="N21" i="3"/>
  <c r="J21" i="3"/>
  <c r="N20" i="3"/>
  <c r="J20" i="3"/>
  <c r="M23" i="3"/>
  <c r="L23" i="3"/>
  <c r="J19" i="3"/>
  <c r="N17" i="3"/>
  <c r="J17" i="3"/>
  <c r="N16" i="3"/>
  <c r="J16" i="3"/>
  <c r="N15" i="3"/>
  <c r="J15" i="3"/>
  <c r="N13" i="3"/>
  <c r="J13" i="3"/>
  <c r="N12" i="3"/>
  <c r="J12" i="3"/>
  <c r="N11" i="3"/>
  <c r="J11" i="3"/>
  <c r="N10" i="3"/>
  <c r="J10" i="3"/>
  <c r="N9" i="3"/>
  <c r="J9" i="3"/>
  <c r="N8" i="3"/>
  <c r="J8" i="3"/>
  <c r="M6" i="3"/>
  <c r="M14" i="3" s="1"/>
  <c r="L6" i="3"/>
  <c r="J7" i="3"/>
  <c r="I6" i="3"/>
  <c r="I14" i="3" s="1"/>
  <c r="N5" i="3"/>
  <c r="J5" i="3"/>
  <c r="N4" i="3"/>
  <c r="J4" i="3"/>
  <c r="N3" i="3"/>
  <c r="N27" i="3" s="1"/>
  <c r="M3" i="3"/>
  <c r="M27" i="3" s="1"/>
  <c r="L3" i="3"/>
  <c r="L27" i="3" s="1"/>
  <c r="N2" i="3"/>
  <c r="L2" i="3"/>
  <c r="L26" i="3" s="1"/>
  <c r="N35" i="2"/>
  <c r="J35" i="2"/>
  <c r="N34" i="2"/>
  <c r="J34" i="2"/>
  <c r="N32" i="2"/>
  <c r="N31" i="2"/>
  <c r="J31" i="2"/>
  <c r="N30" i="2"/>
  <c r="J30" i="2"/>
  <c r="N29" i="2"/>
  <c r="J29" i="2"/>
  <c r="N28" i="2"/>
  <c r="J28" i="2"/>
  <c r="N27" i="2"/>
  <c r="J27" i="2"/>
  <c r="N26" i="2"/>
  <c r="M25" i="2"/>
  <c r="J26" i="2"/>
  <c r="L25" i="2"/>
  <c r="I25" i="2"/>
  <c r="J25" i="2" s="1"/>
  <c r="N24" i="2"/>
  <c r="L23" i="2"/>
  <c r="J24" i="2"/>
  <c r="I20" i="2"/>
  <c r="H20" i="2"/>
  <c r="G20" i="2"/>
  <c r="F20" i="2"/>
  <c r="E20" i="2"/>
  <c r="D20" i="2"/>
  <c r="N18" i="2"/>
  <c r="H18" i="2"/>
  <c r="J18" i="2" s="1"/>
  <c r="G18" i="2"/>
  <c r="N16" i="2"/>
  <c r="J16" i="2"/>
  <c r="N15" i="2"/>
  <c r="J15" i="2"/>
  <c r="N14" i="2"/>
  <c r="J14" i="2"/>
  <c r="N12" i="2"/>
  <c r="J12" i="2"/>
  <c r="N11" i="2"/>
  <c r="J11" i="2"/>
  <c r="N10" i="2"/>
  <c r="L8" i="2"/>
  <c r="J10" i="2"/>
  <c r="N9" i="2"/>
  <c r="J9" i="2"/>
  <c r="M8" i="2"/>
  <c r="I8" i="2"/>
  <c r="I13" i="2" s="1"/>
  <c r="H8" i="2"/>
  <c r="H13" i="2" s="1"/>
  <c r="H17" i="2" s="1"/>
  <c r="H19" i="2" s="1"/>
  <c r="G8" i="2"/>
  <c r="G13" i="2" s="1"/>
  <c r="G17" i="2" s="1"/>
  <c r="F8" i="2"/>
  <c r="F13" i="2" s="1"/>
  <c r="F17" i="2" s="1"/>
  <c r="F19" i="2" s="1"/>
  <c r="E8" i="2"/>
  <c r="E13" i="2" s="1"/>
  <c r="E17" i="2" s="1"/>
  <c r="E19" i="2" s="1"/>
  <c r="D8" i="2"/>
  <c r="D13" i="2" s="1"/>
  <c r="D17" i="2" s="1"/>
  <c r="D19" i="2" s="1"/>
  <c r="C8" i="2"/>
  <c r="C13" i="2" s="1"/>
  <c r="C17" i="2" s="1"/>
  <c r="C19" i="2" s="1"/>
  <c r="N7" i="2"/>
  <c r="J7" i="2"/>
  <c r="N6" i="2"/>
  <c r="J6" i="2"/>
  <c r="N5" i="2"/>
  <c r="J5" i="2"/>
  <c r="L13" i="2"/>
  <c r="L17" i="2" s="1"/>
  <c r="L19" i="2" s="1"/>
  <c r="J4" i="2"/>
  <c r="N3" i="2"/>
  <c r="N22" i="2" s="1"/>
  <c r="M3" i="2"/>
  <c r="M22" i="2" s="1"/>
  <c r="L3" i="2"/>
  <c r="L22" i="2" s="1"/>
  <c r="N2" i="2"/>
  <c r="N21" i="2" s="1"/>
  <c r="L2" i="2"/>
  <c r="L21" i="2" s="1"/>
  <c r="J63" i="1"/>
  <c r="N62" i="1"/>
  <c r="J62" i="1"/>
  <c r="N61" i="1"/>
  <c r="J61" i="1"/>
  <c r="M59" i="1"/>
  <c r="N59" i="1" s="1"/>
  <c r="I59" i="1"/>
  <c r="J59" i="1" s="1"/>
  <c r="H57" i="1"/>
  <c r="N56" i="1"/>
  <c r="J56" i="1"/>
  <c r="J55" i="1"/>
  <c r="L54" i="1"/>
  <c r="L57" i="1" s="1"/>
  <c r="I54" i="1"/>
  <c r="I57" i="1" s="1"/>
  <c r="H54" i="1"/>
  <c r="G54" i="1"/>
  <c r="G57" i="1" s="1"/>
  <c r="F54" i="1"/>
  <c r="F57" i="1" s="1"/>
  <c r="E54" i="1"/>
  <c r="E57" i="1" s="1"/>
  <c r="D54" i="1"/>
  <c r="D57" i="1" s="1"/>
  <c r="C54" i="1"/>
  <c r="C57" i="1" s="1"/>
  <c r="N53" i="1"/>
  <c r="J53" i="1"/>
  <c r="N52" i="1"/>
  <c r="J52" i="1"/>
  <c r="H50" i="1"/>
  <c r="J50" i="1" s="1"/>
  <c r="G50" i="1"/>
  <c r="F50" i="1"/>
  <c r="J49" i="1"/>
  <c r="N45" i="1"/>
  <c r="J45" i="1"/>
  <c r="N44" i="1"/>
  <c r="N43" i="1"/>
  <c r="J43" i="1"/>
  <c r="J42" i="1"/>
  <c r="J39" i="1"/>
  <c r="N37" i="1"/>
  <c r="J37" i="1"/>
  <c r="N36" i="1"/>
  <c r="J36" i="1"/>
  <c r="N35" i="1"/>
  <c r="J35" i="1"/>
  <c r="N34" i="1"/>
  <c r="J34" i="1"/>
  <c r="N33" i="1"/>
  <c r="J33" i="1"/>
  <c r="N32" i="1"/>
  <c r="J32" i="1"/>
  <c r="N31" i="1"/>
  <c r="J31" i="1"/>
  <c r="N30" i="1"/>
  <c r="J30" i="1"/>
  <c r="M29" i="1"/>
  <c r="N29" i="1" s="1"/>
  <c r="I29" i="1"/>
  <c r="J29" i="1" s="1"/>
  <c r="H29" i="1"/>
  <c r="G29" i="1"/>
  <c r="F29" i="1"/>
  <c r="E29" i="1"/>
  <c r="D29" i="1"/>
  <c r="C29" i="1"/>
  <c r="E28" i="1"/>
  <c r="D28" i="1"/>
  <c r="C28" i="1"/>
  <c r="G27" i="1"/>
  <c r="M26" i="1"/>
  <c r="N26" i="1" s="1"/>
  <c r="H26" i="1"/>
  <c r="J26" i="1" s="1"/>
  <c r="G26" i="1"/>
  <c r="F26" i="1"/>
  <c r="E26" i="1"/>
  <c r="D26" i="1"/>
  <c r="C26" i="1"/>
  <c r="C25" i="1"/>
  <c r="C23" i="1"/>
  <c r="C64" i="1" s="1"/>
  <c r="N22" i="1"/>
  <c r="J22" i="1"/>
  <c r="M42" i="1"/>
  <c r="N42" i="1" s="1"/>
  <c r="J21" i="1"/>
  <c r="J19" i="1"/>
  <c r="C18" i="1"/>
  <c r="N17" i="1"/>
  <c r="J17" i="1"/>
  <c r="F16" i="1"/>
  <c r="F18" i="1" s="1"/>
  <c r="F23" i="1" s="1"/>
  <c r="F64" i="1" s="1"/>
  <c r="N15" i="1"/>
  <c r="J15" i="1"/>
  <c r="N14" i="1"/>
  <c r="J14" i="1"/>
  <c r="N13" i="1"/>
  <c r="J13" i="1"/>
  <c r="N10" i="1"/>
  <c r="J10" i="1"/>
  <c r="E9" i="1"/>
  <c r="E16" i="1" s="1"/>
  <c r="N8" i="1"/>
  <c r="J8" i="1"/>
  <c r="N7" i="1"/>
  <c r="J7" i="1"/>
  <c r="M6" i="1"/>
  <c r="M9" i="1" s="1"/>
  <c r="L6" i="1"/>
  <c r="L9" i="1" s="1"/>
  <c r="L16" i="1" s="1"/>
  <c r="I6" i="1"/>
  <c r="H6" i="1"/>
  <c r="H9" i="1" s="1"/>
  <c r="H16" i="1" s="1"/>
  <c r="G6" i="1"/>
  <c r="G9" i="1" s="1"/>
  <c r="G16" i="1" s="1"/>
  <c r="E6" i="1"/>
  <c r="D6" i="1"/>
  <c r="D9" i="1" s="1"/>
  <c r="D16" i="1" s="1"/>
  <c r="C6" i="1"/>
  <c r="C9" i="1" s="1"/>
  <c r="N5" i="1"/>
  <c r="J5" i="1"/>
  <c r="N4" i="1"/>
  <c r="J4" i="1"/>
  <c r="M2" i="1"/>
  <c r="M2" i="3" s="1"/>
  <c r="M26" i="3" s="1"/>
  <c r="J29" i="3" l="1"/>
  <c r="J53" i="3"/>
  <c r="N53" i="3"/>
  <c r="G19" i="2"/>
  <c r="J8" i="2"/>
  <c r="N8" i="2"/>
  <c r="J6" i="1"/>
  <c r="J48" i="3"/>
  <c r="C38" i="1"/>
  <c r="C46" i="1" s="1"/>
  <c r="C47" i="1" s="1"/>
  <c r="N43" i="3"/>
  <c r="J28" i="3"/>
  <c r="M13" i="2"/>
  <c r="N13" i="2" s="1"/>
  <c r="I33" i="3"/>
  <c r="J33" i="3" s="1"/>
  <c r="J43" i="3"/>
  <c r="H18" i="1"/>
  <c r="H23" i="1" s="1"/>
  <c r="H64" i="1" s="1"/>
  <c r="H25" i="1"/>
  <c r="H38" i="1" s="1"/>
  <c r="H46" i="1" s="1"/>
  <c r="H47" i="1" s="1"/>
  <c r="N6" i="3"/>
  <c r="N25" i="2"/>
  <c r="M23" i="2"/>
  <c r="N23" i="2" s="1"/>
  <c r="I39" i="3"/>
  <c r="J39" i="3" s="1"/>
  <c r="J38" i="3"/>
  <c r="N39" i="3"/>
  <c r="G18" i="1"/>
  <c r="G23" i="1" s="1"/>
  <c r="G64" i="1" s="1"/>
  <c r="G25" i="1"/>
  <c r="G38" i="1" s="1"/>
  <c r="G46" i="1" s="1"/>
  <c r="G47" i="1" s="1"/>
  <c r="M18" i="3"/>
  <c r="E18" i="1"/>
  <c r="E23" i="1" s="1"/>
  <c r="E25" i="1"/>
  <c r="E38" i="1" s="1"/>
  <c r="E46" i="1" s="1"/>
  <c r="E47" i="1" s="1"/>
  <c r="I60" i="1"/>
  <c r="J60" i="1" s="1"/>
  <c r="J57" i="1"/>
  <c r="L18" i="1"/>
  <c r="L23" i="1" s="1"/>
  <c r="L25" i="1"/>
  <c r="L38" i="1" s="1"/>
  <c r="L46" i="1" s="1"/>
  <c r="L47" i="1" s="1"/>
  <c r="I17" i="2"/>
  <c r="J13" i="2"/>
  <c r="D18" i="1"/>
  <c r="D23" i="1" s="1"/>
  <c r="D64" i="1" s="1"/>
  <c r="D25" i="1"/>
  <c r="D38" i="1" s="1"/>
  <c r="D46" i="1" s="1"/>
  <c r="D47" i="1" s="1"/>
  <c r="I18" i="3"/>
  <c r="J18" i="3" s="1"/>
  <c r="J14" i="3"/>
  <c r="N48" i="3"/>
  <c r="N33" i="3"/>
  <c r="N9" i="1"/>
  <c r="M16" i="1"/>
  <c r="L14" i="3"/>
  <c r="L18" i="3" s="1"/>
  <c r="L24" i="3" s="1"/>
  <c r="N23" i="3"/>
  <c r="N21" i="1"/>
  <c r="N7" i="3"/>
  <c r="J23" i="3"/>
  <c r="N6" i="1"/>
  <c r="I9" i="1"/>
  <c r="F25" i="1"/>
  <c r="F38" i="1" s="1"/>
  <c r="F46" i="1" s="1"/>
  <c r="F47" i="1" s="1"/>
  <c r="M54" i="1"/>
  <c r="I23" i="2"/>
  <c r="J23" i="2" s="1"/>
  <c r="J6" i="3"/>
  <c r="N46" i="3"/>
  <c r="J54" i="1"/>
  <c r="M2" i="2"/>
  <c r="M21" i="2" s="1"/>
  <c r="N4" i="2"/>
  <c r="N19" i="3"/>
  <c r="N38" i="3"/>
  <c r="N55" i="1"/>
  <c r="N14" i="3" l="1"/>
  <c r="M17" i="2"/>
  <c r="M19" i="2" s="1"/>
  <c r="N19" i="2" s="1"/>
  <c r="M25" i="1"/>
  <c r="M18" i="1"/>
  <c r="N16" i="1"/>
  <c r="I19" i="2"/>
  <c r="J19" i="2" s="1"/>
  <c r="J17" i="2"/>
  <c r="N18" i="3"/>
  <c r="I16" i="1"/>
  <c r="J9" i="1"/>
  <c r="I24" i="3"/>
  <c r="J24" i="3" s="1"/>
  <c r="M57" i="1"/>
  <c r="N54" i="1"/>
  <c r="M24" i="3"/>
  <c r="N24" i="3" s="1"/>
  <c r="N17" i="2" l="1"/>
  <c r="N57" i="1"/>
  <c r="M60" i="1"/>
  <c r="M23" i="1"/>
  <c r="N23" i="1" s="1"/>
  <c r="N18" i="1"/>
  <c r="I25" i="1"/>
  <c r="J16" i="1"/>
  <c r="I18" i="1"/>
  <c r="M38" i="1"/>
  <c r="N25" i="1"/>
  <c r="M46" i="1" l="1"/>
  <c r="N38" i="1"/>
  <c r="I23" i="1"/>
  <c r="J18" i="1"/>
  <c r="J25" i="1"/>
  <c r="I38" i="1"/>
  <c r="N60" i="1"/>
  <c r="M63" i="1"/>
  <c r="N63" i="1" s="1"/>
  <c r="I46" i="1" l="1"/>
  <c r="J38" i="1"/>
  <c r="I64" i="1"/>
  <c r="J64" i="1" s="1"/>
  <c r="J23" i="1"/>
  <c r="N46" i="1"/>
  <c r="M47" i="1"/>
  <c r="N47" i="1" s="1"/>
  <c r="J46" i="1" l="1"/>
  <c r="I48" i="1"/>
  <c r="J48" i="1" s="1"/>
  <c r="I47" i="1"/>
  <c r="J47" i="1" s="1"/>
</calcChain>
</file>

<file path=xl/sharedStrings.xml><?xml version="1.0" encoding="utf-8"?>
<sst xmlns="http://schemas.openxmlformats.org/spreadsheetml/2006/main" count="366" uniqueCount="116">
  <si>
    <t xml:space="preserve">Consolidated </t>
  </si>
  <si>
    <t>FY</t>
  </si>
  <si>
    <t>Delta</t>
  </si>
  <si>
    <t>9M</t>
  </si>
  <si>
    <t>Financials</t>
  </si>
  <si>
    <t>19-20</t>
  </si>
  <si>
    <t>20-21</t>
  </si>
  <si>
    <t>Revenue</t>
  </si>
  <si>
    <t>Cost of Sales</t>
  </si>
  <si>
    <t>Gross Margin</t>
  </si>
  <si>
    <t xml:space="preserve">Opex </t>
  </si>
  <si>
    <t>Other income/expense</t>
  </si>
  <si>
    <t>Operating profit</t>
  </si>
  <si>
    <t>Adjustment of depreciation and amortization</t>
  </si>
  <si>
    <t>Impairment on goodwill</t>
  </si>
  <si>
    <t>-</t>
  </si>
  <si>
    <t>TradeCo-related pro-forma EBITDA adjustment</t>
  </si>
  <si>
    <t>Adjustments related to operational fx losses</t>
  </si>
  <si>
    <t>Adjustments related to deposit valuation expense</t>
  </si>
  <si>
    <t>Interest income related to revenue cap  regulation</t>
  </si>
  <si>
    <t>EBITDA</t>
  </si>
  <si>
    <t>Capex reimbursements</t>
  </si>
  <si>
    <t>EBITDA + Capex reimbursements</t>
  </si>
  <si>
    <t>Fair value changes of financial assets</t>
  </si>
  <si>
    <t>Competition Authority penalty provision</t>
  </si>
  <si>
    <t>Non-recurring (income) / expense related to prior fiscal years</t>
  </si>
  <si>
    <t>Non-recurring (income) / expense</t>
  </si>
  <si>
    <t>Operational Earnings</t>
  </si>
  <si>
    <t>Depreciation &amp; Amortization</t>
  </si>
  <si>
    <t>Financial result</t>
  </si>
  <si>
    <t>Net loan interest expense</t>
  </si>
  <si>
    <t>Weighted average loan financing cost (%)</t>
  </si>
  <si>
    <t>Bond interest expense</t>
  </si>
  <si>
    <t>Weighted average bond financing cost (%)</t>
  </si>
  <si>
    <t>Deposit valuation expenses</t>
  </si>
  <si>
    <t>Lease interest expenses</t>
  </si>
  <si>
    <t>Other</t>
  </si>
  <si>
    <t>Income tax</t>
  </si>
  <si>
    <t>Net Income</t>
  </si>
  <si>
    <t>Goodwill impairment expense</t>
  </si>
  <si>
    <t>Tax rate change</t>
  </si>
  <si>
    <t>One off refinancing fees</t>
  </si>
  <si>
    <t>Underlying Net Income</t>
  </si>
  <si>
    <t>Earnings per share (kr)</t>
  </si>
  <si>
    <t>Payout ratio</t>
  </si>
  <si>
    <t>Dividends (fiscal year perspective)</t>
  </si>
  <si>
    <t>Dividend per share (kr)</t>
  </si>
  <si>
    <t>Operating Cash Flow (before interest &amp; tax)</t>
  </si>
  <si>
    <t>Capex</t>
  </si>
  <si>
    <t>Free Cash Flow (before interest &amp; tax)</t>
  </si>
  <si>
    <t>Interest payments (net)</t>
  </si>
  <si>
    <t>Tax payments</t>
  </si>
  <si>
    <t>Free Cash Flow (after interest &amp; tax)</t>
  </si>
  <si>
    <t>Financial Net Debt (Opening Balance)</t>
  </si>
  <si>
    <t>Dividend payment</t>
  </si>
  <si>
    <t>Other (FX &amp; accruals)</t>
  </si>
  <si>
    <t>Financial Net Debt (Closing Balance)</t>
  </si>
  <si>
    <t>Financial net debt/Operational earnings</t>
  </si>
  <si>
    <t>Retail</t>
  </si>
  <si>
    <t>Regulated gross profit</t>
  </si>
  <si>
    <t>Liberalised gross profit</t>
  </si>
  <si>
    <t>Customer solutions gross profit</t>
  </si>
  <si>
    <t>Opex</t>
  </si>
  <si>
    <t>Bad debt related income and expense</t>
  </si>
  <si>
    <t>Doubtful provision expense</t>
  </si>
  <si>
    <t>Late payment income</t>
  </si>
  <si>
    <t>Bonus collection</t>
  </si>
  <si>
    <t>Price equalization effects</t>
  </si>
  <si>
    <t>Net deposit additions</t>
  </si>
  <si>
    <t>Delta NWC</t>
  </si>
  <si>
    <t>Operations</t>
  </si>
  <si>
    <t>Sales volume (TWh)</t>
  </si>
  <si>
    <t>Regulated (TWh)</t>
  </si>
  <si>
    <t>Liberalised (TWh)</t>
  </si>
  <si>
    <t>Corporate</t>
  </si>
  <si>
    <t>n.a.</t>
  </si>
  <si>
    <t>Residential &amp; SME</t>
  </si>
  <si>
    <t>Gross profit margin (%)</t>
  </si>
  <si>
    <t>Regulated (%)</t>
  </si>
  <si>
    <t>Liberalised (%)</t>
  </si>
  <si>
    <t>Customer number (m)</t>
  </si>
  <si>
    <t>Churn rates (%)</t>
  </si>
  <si>
    <t>Distribution</t>
  </si>
  <si>
    <t>Financial Income</t>
  </si>
  <si>
    <t>Efficiency &amp; Quality</t>
  </si>
  <si>
    <t>Capex outperformance</t>
  </si>
  <si>
    <t>Opex outperformance</t>
  </si>
  <si>
    <t>T&amp;L outperformance</t>
  </si>
  <si>
    <t>Theft accrual &amp; collection</t>
  </si>
  <si>
    <t>Quality bonus</t>
  </si>
  <si>
    <t>Tax correction</t>
  </si>
  <si>
    <t>Financial income not yet cash-effective</t>
  </si>
  <si>
    <t>Net working capital and other</t>
  </si>
  <si>
    <t>Actual allowed Capex</t>
  </si>
  <si>
    <t>VAT paid</t>
  </si>
  <si>
    <t>Unpaid and previous year Capex</t>
  </si>
  <si>
    <t>Cash-effective Capex</t>
  </si>
  <si>
    <t>RAB (Opening Balance)</t>
  </si>
  <si>
    <t>Tariff correction</t>
  </si>
  <si>
    <t>Revaluation of opening balance</t>
  </si>
  <si>
    <t>RAB (Closing Balance)</t>
  </si>
  <si>
    <t>WACC (real in %)</t>
  </si>
  <si>
    <t>Initial allowed Capex (real)</t>
  </si>
  <si>
    <t>Initial allowed Capex (nominal)</t>
  </si>
  <si>
    <t>Overspending (%)</t>
  </si>
  <si>
    <t>T&amp;L Başkent</t>
  </si>
  <si>
    <t>Target</t>
  </si>
  <si>
    <t>Actual rate</t>
  </si>
  <si>
    <t>% outperformance</t>
  </si>
  <si>
    <t>Total Distributed Energy (TWh)</t>
  </si>
  <si>
    <t>T&amp;L Ayedaş</t>
  </si>
  <si>
    <t>T&amp;L Toroslar</t>
  </si>
  <si>
    <t>Theft usage detection accrual</t>
  </si>
  <si>
    <t>Theft usage accrual collection</t>
  </si>
  <si>
    <t>Network length (km)</t>
  </si>
  <si>
    <t>Network connections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</si>
</sst>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%"/>
    <numFmt numFmtId="167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ill="1" applyBorder="1"/>
    <xf numFmtId="0" fontId="2" fillId="0" borderId="1" xfId="0" applyFont="1" applyFill="1" applyBorder="1"/>
    <xf numFmtId="0" fontId="2" fillId="0" borderId="3" xfId="0" applyFont="1" applyFill="1" applyBorder="1"/>
    <xf numFmtId="0" fontId="0" fillId="0" borderId="1" xfId="0" applyFont="1" applyFill="1" applyBorder="1"/>
    <xf numFmtId="0" fontId="4" fillId="2" borderId="1" xfId="0" applyFont="1" applyFill="1" applyBorder="1"/>
    <xf numFmtId="0" fontId="0" fillId="0" borderId="1" xfId="0" applyBorder="1"/>
    <xf numFmtId="0" fontId="0" fillId="0" borderId="1" xfId="0" applyFont="1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Fill="1" applyBorder="1"/>
    <xf numFmtId="0" fontId="3" fillId="0" borderId="3" xfId="0" applyFont="1" applyFill="1" applyBorder="1"/>
    <xf numFmtId="0" fontId="0" fillId="0" borderId="1" xfId="0" applyBorder="1" applyAlignment="1">
      <alignment horizontal="left" indent="2"/>
    </xf>
    <xf numFmtId="0" fontId="4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left" indent="1"/>
    </xf>
    <xf numFmtId="0" fontId="0" fillId="0" borderId="1" xfId="0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" fontId="2" fillId="0" borderId="4" xfId="0" quotePrefix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65" fontId="0" fillId="0" borderId="0" xfId="1" applyNumberFormat="1" applyFont="1" applyFill="1" applyAlignment="1">
      <alignment horizontal="center" vertical="center"/>
    </xf>
    <xf numFmtId="3" fontId="0" fillId="0" borderId="2" xfId="0" quotePrefix="1" applyNumberForma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9" fontId="7" fillId="0" borderId="0" xfId="1" applyFont="1" applyFill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10" fontId="0" fillId="0" borderId="2" xfId="1" applyNumberFormat="1" applyFont="1" applyFill="1" applyBorder="1" applyAlignment="1">
      <alignment horizontal="center" vertical="center"/>
    </xf>
    <xf numFmtId="165" fontId="5" fillId="2" borderId="2" xfId="1" applyNumberFormat="1" applyFont="1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165" fontId="0" fillId="0" borderId="2" xfId="1" applyNumberFormat="1" applyFont="1" applyFill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167" fontId="0" fillId="0" borderId="2" xfId="0" applyNumberFormat="1" applyFill="1" applyBorder="1" applyAlignment="1">
      <alignment horizontal="center" vertical="center"/>
    </xf>
    <xf numFmtId="167" fontId="0" fillId="0" borderId="0" xfId="0" applyNumberForma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" fontId="3" fillId="0" borderId="4" xfId="0" quotePrefix="1" applyNumberFormat="1" applyFont="1" applyFill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3" fontId="0" fillId="0" borderId="0" xfId="1" applyNumberFormat="1" applyFont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4" fillId="2" borderId="2" xfId="0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0" fillId="0" borderId="2" xfId="0" quotePrefix="1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9" fontId="0" fillId="0" borderId="2" xfId="1" applyNumberFormat="1" applyFont="1" applyFill="1" applyBorder="1" applyAlignment="1">
      <alignment horizontal="center" vertical="center"/>
    </xf>
    <xf numFmtId="167" fontId="0" fillId="0" borderId="2" xfId="0" applyNumberFormat="1" applyFont="1" applyFill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X64"/>
  <sheetViews>
    <sheetView showGridLines="0" tabSelected="1" zoomScaleNormal="100" workbookViewId="0">
      <pane xSplit="2" ySplit="3" topLeftCell="C4" activePane="bottomRight" state="frozen"/>
      <selection activeCell="F62" sqref="F62"/>
      <selection pane="topRight" activeCell="F62" sqref="F62"/>
      <selection pane="bottomLeft" activeCell="F62" sqref="F62"/>
      <selection pane="bottomRight" activeCell="Q60" sqref="Q60"/>
    </sheetView>
  </sheetViews>
  <sheetFormatPr defaultColWidth="8.85546875" defaultRowHeight="15" x14ac:dyDescent="0.25"/>
  <cols>
    <col min="1" max="1" width="8.42578125" customWidth="1"/>
    <col min="2" max="2" width="54.140625" customWidth="1"/>
    <col min="3" max="10" width="10.5703125" style="45" customWidth="1"/>
    <col min="11" max="11" width="2.85546875" style="54" customWidth="1"/>
    <col min="12" max="14" width="10.5703125" style="45" customWidth="1"/>
  </cols>
  <sheetData>
    <row r="1" spans="2:14" x14ac:dyDescent="0.25">
      <c r="C1" s="22"/>
      <c r="D1" s="22"/>
      <c r="E1" s="22"/>
      <c r="F1" s="23"/>
      <c r="G1" s="23"/>
      <c r="H1" s="23"/>
      <c r="J1" s="23"/>
      <c r="N1" s="23"/>
    </row>
    <row r="2" spans="2:14" x14ac:dyDescent="0.25">
      <c r="B2" s="2" t="s">
        <v>0</v>
      </c>
      <c r="C2" s="18" t="s">
        <v>1</v>
      </c>
      <c r="D2" s="18" t="s">
        <v>1</v>
      </c>
      <c r="E2" s="18" t="s">
        <v>1</v>
      </c>
      <c r="F2" s="18" t="s">
        <v>1</v>
      </c>
      <c r="G2" s="18" t="s">
        <v>1</v>
      </c>
      <c r="H2" s="18" t="s">
        <v>1</v>
      </c>
      <c r="I2" s="18" t="s">
        <v>1</v>
      </c>
      <c r="J2" s="18" t="s">
        <v>2</v>
      </c>
      <c r="K2" s="55"/>
      <c r="L2" s="18" t="s">
        <v>3</v>
      </c>
      <c r="M2" s="18" t="str">
        <f>L2</f>
        <v>9M</v>
      </c>
      <c r="N2" s="18" t="s">
        <v>2</v>
      </c>
    </row>
    <row r="3" spans="2:14" ht="15.75" thickBot="1" x14ac:dyDescent="0.3">
      <c r="B3" s="3" t="s">
        <v>4</v>
      </c>
      <c r="C3" s="20">
        <v>2014</v>
      </c>
      <c r="D3" s="20">
        <v>2015</v>
      </c>
      <c r="E3" s="20">
        <v>2016</v>
      </c>
      <c r="F3" s="20">
        <v>2017</v>
      </c>
      <c r="G3" s="20">
        <v>2018</v>
      </c>
      <c r="H3" s="20">
        <v>2019</v>
      </c>
      <c r="I3" s="20">
        <v>2020</v>
      </c>
      <c r="J3" s="21" t="s">
        <v>5</v>
      </c>
      <c r="K3" s="55"/>
      <c r="L3" s="20">
        <v>2020</v>
      </c>
      <c r="M3" s="20">
        <v>2021</v>
      </c>
      <c r="N3" s="21" t="s">
        <v>6</v>
      </c>
    </row>
    <row r="4" spans="2:14" x14ac:dyDescent="0.25">
      <c r="B4" s="4" t="s">
        <v>7</v>
      </c>
      <c r="C4" s="32">
        <v>8064.4210000000003</v>
      </c>
      <c r="D4" s="32">
        <v>9153.6139999999996</v>
      </c>
      <c r="E4" s="32">
        <v>9103.3799999999992</v>
      </c>
      <c r="F4" s="32">
        <v>12345</v>
      </c>
      <c r="G4" s="32">
        <v>18347</v>
      </c>
      <c r="H4" s="32">
        <v>19453</v>
      </c>
      <c r="I4" s="32">
        <v>21757</v>
      </c>
      <c r="J4" s="32">
        <f>I4-H4</f>
        <v>2304</v>
      </c>
      <c r="L4" s="32">
        <v>16887</v>
      </c>
      <c r="M4" s="32">
        <v>20360</v>
      </c>
      <c r="N4" s="32">
        <f>M4-L4</f>
        <v>3473</v>
      </c>
    </row>
    <row r="5" spans="2:14" x14ac:dyDescent="0.25">
      <c r="B5" s="4" t="s">
        <v>8</v>
      </c>
      <c r="C5" s="32">
        <v>-6753.5110000000004</v>
      </c>
      <c r="D5" s="32">
        <v>-7108.12</v>
      </c>
      <c r="E5" s="32">
        <v>-6500.9560000000001</v>
      </c>
      <c r="F5" s="32">
        <v>-8412</v>
      </c>
      <c r="G5" s="32">
        <v>-12380</v>
      </c>
      <c r="H5" s="32">
        <v>-14109</v>
      </c>
      <c r="I5" s="32">
        <v>-16118</v>
      </c>
      <c r="J5" s="32">
        <f t="shared" ref="J5:J64" si="0">I5-H5</f>
        <v>-2009</v>
      </c>
      <c r="L5" s="32">
        <v>-12220</v>
      </c>
      <c r="M5" s="32">
        <v>-14826</v>
      </c>
      <c r="N5" s="32">
        <f t="shared" ref="N5:N10" si="1">M5-L5</f>
        <v>-2606</v>
      </c>
    </row>
    <row r="6" spans="2:14" x14ac:dyDescent="0.25">
      <c r="B6" s="5" t="s">
        <v>9</v>
      </c>
      <c r="C6" s="30">
        <f t="shared" ref="C6:E6" si="2">SUM(C4:C5)</f>
        <v>1310.9099999999999</v>
      </c>
      <c r="D6" s="30">
        <f t="shared" si="2"/>
        <v>2045.4939999999997</v>
      </c>
      <c r="E6" s="30">
        <f t="shared" si="2"/>
        <v>2602.4239999999991</v>
      </c>
      <c r="F6" s="30">
        <v>3932</v>
      </c>
      <c r="G6" s="30">
        <f>SUM(G4:G5)</f>
        <v>5967</v>
      </c>
      <c r="H6" s="30">
        <f>SUM(H4:H5)</f>
        <v>5344</v>
      </c>
      <c r="I6" s="30">
        <f>SUM(I4:I5)</f>
        <v>5639</v>
      </c>
      <c r="J6" s="30">
        <f t="shared" si="0"/>
        <v>295</v>
      </c>
      <c r="K6" s="56"/>
      <c r="L6" s="30">
        <f>SUM(L4:L5)</f>
        <v>4667</v>
      </c>
      <c r="M6" s="30">
        <f>SUM(M4:M5)</f>
        <v>5534</v>
      </c>
      <c r="N6" s="30">
        <f t="shared" si="1"/>
        <v>867</v>
      </c>
    </row>
    <row r="7" spans="2:14" x14ac:dyDescent="0.25">
      <c r="B7" s="4" t="s">
        <v>10</v>
      </c>
      <c r="C7" s="32">
        <v>-967.3</v>
      </c>
      <c r="D7" s="32">
        <v>-1079.79</v>
      </c>
      <c r="E7" s="32">
        <v>-1228</v>
      </c>
      <c r="F7" s="32">
        <v>-1519</v>
      </c>
      <c r="G7" s="32">
        <v>-1849</v>
      </c>
      <c r="H7" s="32">
        <v>-2170</v>
      </c>
      <c r="I7" s="32">
        <v>-2543</v>
      </c>
      <c r="J7" s="32">
        <f t="shared" si="0"/>
        <v>-373</v>
      </c>
      <c r="L7" s="32">
        <v>-1761</v>
      </c>
      <c r="M7" s="32">
        <v>-2236</v>
      </c>
      <c r="N7" s="32">
        <f t="shared" si="1"/>
        <v>-475</v>
      </c>
    </row>
    <row r="8" spans="2:14" x14ac:dyDescent="0.25">
      <c r="B8" s="4" t="s">
        <v>11</v>
      </c>
      <c r="C8" s="32">
        <v>-36</v>
      </c>
      <c r="D8" s="32">
        <v>72.599999999999994</v>
      </c>
      <c r="E8" s="32">
        <v>-102</v>
      </c>
      <c r="F8" s="32">
        <v>-173</v>
      </c>
      <c r="G8" s="32">
        <v>-1307</v>
      </c>
      <c r="H8" s="32">
        <v>-110</v>
      </c>
      <c r="I8" s="32">
        <v>-358</v>
      </c>
      <c r="J8" s="32">
        <f t="shared" si="0"/>
        <v>-248</v>
      </c>
      <c r="L8" s="32">
        <v>-127</v>
      </c>
      <c r="M8" s="32">
        <v>-280</v>
      </c>
      <c r="N8" s="32">
        <f t="shared" si="1"/>
        <v>-153</v>
      </c>
    </row>
    <row r="9" spans="2:14" x14ac:dyDescent="0.25">
      <c r="B9" s="5" t="s">
        <v>12</v>
      </c>
      <c r="C9" s="30">
        <f>SUM(C6:C8)</f>
        <v>307.6099999999999</v>
      </c>
      <c r="D9" s="30">
        <f t="shared" ref="D9:E9" si="3">SUM(D6:D8)</f>
        <v>1038.3039999999996</v>
      </c>
      <c r="E9" s="30">
        <f t="shared" si="3"/>
        <v>1272.4239999999991</v>
      </c>
      <c r="F9" s="30">
        <v>2241</v>
      </c>
      <c r="G9" s="30">
        <f>SUM(G6:G8)</f>
        <v>2811</v>
      </c>
      <c r="H9" s="30">
        <f>SUM(H6:H8)</f>
        <v>3064</v>
      </c>
      <c r="I9" s="30">
        <f>SUM(I6:I8)</f>
        <v>2738</v>
      </c>
      <c r="J9" s="30">
        <f t="shared" si="0"/>
        <v>-326</v>
      </c>
      <c r="K9" s="56"/>
      <c r="L9" s="30">
        <f>SUM(L6:L8)</f>
        <v>2779</v>
      </c>
      <c r="M9" s="30">
        <f>SUM(M6:M8)</f>
        <v>3018</v>
      </c>
      <c r="N9" s="30">
        <f t="shared" si="1"/>
        <v>239</v>
      </c>
    </row>
    <row r="10" spans="2:14" x14ac:dyDescent="0.25">
      <c r="B10" s="4" t="s">
        <v>13</v>
      </c>
      <c r="C10" s="32">
        <v>208.66300000000001</v>
      </c>
      <c r="D10" s="32">
        <v>219.4</v>
      </c>
      <c r="E10" s="32">
        <v>218</v>
      </c>
      <c r="F10" s="32">
        <v>235</v>
      </c>
      <c r="G10" s="32">
        <v>258</v>
      </c>
      <c r="H10" s="32">
        <v>373</v>
      </c>
      <c r="I10" s="32">
        <v>444</v>
      </c>
      <c r="J10" s="32">
        <f t="shared" si="0"/>
        <v>71</v>
      </c>
      <c r="L10" s="32">
        <v>301</v>
      </c>
      <c r="M10" s="32">
        <v>342</v>
      </c>
      <c r="N10" s="32">
        <f t="shared" si="1"/>
        <v>41</v>
      </c>
    </row>
    <row r="11" spans="2:14" x14ac:dyDescent="0.25">
      <c r="B11" s="4" t="s">
        <v>14</v>
      </c>
      <c r="C11" s="57" t="s">
        <v>15</v>
      </c>
      <c r="D11" s="57" t="s">
        <v>15</v>
      </c>
      <c r="E11" s="57" t="s">
        <v>15</v>
      </c>
      <c r="F11" s="57" t="s">
        <v>15</v>
      </c>
      <c r="G11" s="32">
        <v>753</v>
      </c>
      <c r="H11" s="32" t="s">
        <v>15</v>
      </c>
      <c r="I11" s="32" t="s">
        <v>15</v>
      </c>
      <c r="J11" s="57" t="s">
        <v>15</v>
      </c>
      <c r="L11" s="32" t="s">
        <v>15</v>
      </c>
      <c r="M11" s="32" t="s">
        <v>15</v>
      </c>
      <c r="N11" s="57" t="s">
        <v>15</v>
      </c>
    </row>
    <row r="12" spans="2:14" x14ac:dyDescent="0.25">
      <c r="B12" s="4" t="s">
        <v>16</v>
      </c>
      <c r="C12" s="32">
        <v>16</v>
      </c>
      <c r="D12" s="32">
        <v>-60</v>
      </c>
      <c r="E12" s="32">
        <v>-16</v>
      </c>
      <c r="F12" s="57" t="s">
        <v>15</v>
      </c>
      <c r="G12" s="57" t="s">
        <v>15</v>
      </c>
      <c r="H12" s="57" t="s">
        <v>15</v>
      </c>
      <c r="I12" s="32" t="s">
        <v>15</v>
      </c>
      <c r="J12" s="57" t="s">
        <v>15</v>
      </c>
      <c r="L12" s="32" t="s">
        <v>15</v>
      </c>
      <c r="M12" s="32" t="s">
        <v>15</v>
      </c>
      <c r="N12" s="57" t="s">
        <v>15</v>
      </c>
    </row>
    <row r="13" spans="2:14" x14ac:dyDescent="0.25">
      <c r="B13" s="4" t="s">
        <v>17</v>
      </c>
      <c r="C13" s="57" t="s">
        <v>15</v>
      </c>
      <c r="D13" s="57" t="s">
        <v>15</v>
      </c>
      <c r="E13" s="57" t="s">
        <v>15</v>
      </c>
      <c r="F13" s="57" t="s">
        <v>15</v>
      </c>
      <c r="G13" s="57">
        <v>44</v>
      </c>
      <c r="H13" s="57">
        <v>4</v>
      </c>
      <c r="I13" s="32">
        <v>28</v>
      </c>
      <c r="J13" s="32">
        <f t="shared" si="0"/>
        <v>24</v>
      </c>
      <c r="L13" s="32">
        <v>34</v>
      </c>
      <c r="M13" s="32">
        <v>45</v>
      </c>
      <c r="N13" s="32">
        <f t="shared" ref="N13:N18" si="4">M13-L13</f>
        <v>11</v>
      </c>
    </row>
    <row r="14" spans="2:14" x14ac:dyDescent="0.25">
      <c r="B14" s="4" t="s">
        <v>18</v>
      </c>
      <c r="C14" s="32">
        <v>43</v>
      </c>
      <c r="D14" s="32">
        <v>36</v>
      </c>
      <c r="E14" s="32">
        <v>40</v>
      </c>
      <c r="F14" s="32">
        <v>79</v>
      </c>
      <c r="G14" s="57">
        <v>243</v>
      </c>
      <c r="H14" s="57">
        <v>114</v>
      </c>
      <c r="I14" s="32">
        <v>162</v>
      </c>
      <c r="J14" s="32">
        <f t="shared" si="0"/>
        <v>48</v>
      </c>
      <c r="L14" s="32">
        <v>103</v>
      </c>
      <c r="M14" s="32">
        <v>222</v>
      </c>
      <c r="N14" s="32">
        <f t="shared" si="4"/>
        <v>119</v>
      </c>
    </row>
    <row r="15" spans="2:14" x14ac:dyDescent="0.25">
      <c r="B15" s="4" t="s">
        <v>19</v>
      </c>
      <c r="C15" s="32">
        <v>-5</v>
      </c>
      <c r="D15" s="32">
        <v>-2</v>
      </c>
      <c r="E15" s="32">
        <v>-19</v>
      </c>
      <c r="F15" s="32">
        <v>0</v>
      </c>
      <c r="G15" s="57">
        <v>-44</v>
      </c>
      <c r="H15" s="57">
        <v>-186</v>
      </c>
      <c r="I15" s="32">
        <v>-30</v>
      </c>
      <c r="J15" s="32">
        <f t="shared" si="0"/>
        <v>156</v>
      </c>
      <c r="L15" s="32">
        <v>-31</v>
      </c>
      <c r="M15" s="32">
        <v>-37</v>
      </c>
      <c r="N15" s="32">
        <f t="shared" si="4"/>
        <v>-6</v>
      </c>
    </row>
    <row r="16" spans="2:14" x14ac:dyDescent="0.25">
      <c r="B16" s="5" t="s">
        <v>20</v>
      </c>
      <c r="C16" s="30">
        <v>569</v>
      </c>
      <c r="D16" s="30">
        <f>SUM(D9:D15)</f>
        <v>1231.7039999999997</v>
      </c>
      <c r="E16" s="30">
        <f>SUM(E9:E15)</f>
        <v>1495.4239999999991</v>
      </c>
      <c r="F16" s="30">
        <f t="shared" ref="F16:I16" si="5">SUM(F9:F15)</f>
        <v>2555</v>
      </c>
      <c r="G16" s="30">
        <f t="shared" si="5"/>
        <v>4065</v>
      </c>
      <c r="H16" s="30">
        <f t="shared" si="5"/>
        <v>3369</v>
      </c>
      <c r="I16" s="30">
        <f t="shared" si="5"/>
        <v>3342</v>
      </c>
      <c r="J16" s="30">
        <f t="shared" si="0"/>
        <v>-27</v>
      </c>
      <c r="K16" s="56"/>
      <c r="L16" s="30">
        <f t="shared" ref="L16:M16" si="6">SUM(L9:L15)</f>
        <v>3186</v>
      </c>
      <c r="M16" s="30">
        <f t="shared" si="6"/>
        <v>3590</v>
      </c>
      <c r="N16" s="30">
        <f t="shared" si="4"/>
        <v>404</v>
      </c>
    </row>
    <row r="17" spans="2:14" x14ac:dyDescent="0.25">
      <c r="B17" s="6" t="s">
        <v>21</v>
      </c>
      <c r="C17" s="26">
        <v>210</v>
      </c>
      <c r="D17" s="26">
        <v>200</v>
      </c>
      <c r="E17" s="26">
        <v>443</v>
      </c>
      <c r="F17" s="26">
        <v>592</v>
      </c>
      <c r="G17" s="32">
        <v>798</v>
      </c>
      <c r="H17" s="32">
        <v>1058</v>
      </c>
      <c r="I17" s="32">
        <v>1342</v>
      </c>
      <c r="J17" s="26">
        <f t="shared" si="0"/>
        <v>284</v>
      </c>
      <c r="L17" s="32">
        <v>1006</v>
      </c>
      <c r="M17" s="32">
        <v>1576</v>
      </c>
      <c r="N17" s="26">
        <f t="shared" si="4"/>
        <v>570</v>
      </c>
    </row>
    <row r="18" spans="2:14" x14ac:dyDescent="0.25">
      <c r="B18" s="5" t="s">
        <v>22</v>
      </c>
      <c r="C18" s="30">
        <f>SUM(C16:C17)</f>
        <v>779</v>
      </c>
      <c r="D18" s="30">
        <f t="shared" ref="D18:F18" si="7">SUM(D16:D17)</f>
        <v>1431.7039999999997</v>
      </c>
      <c r="E18" s="30">
        <f t="shared" si="7"/>
        <v>1938.4239999999991</v>
      </c>
      <c r="F18" s="30">
        <f t="shared" si="7"/>
        <v>3147</v>
      </c>
      <c r="G18" s="30">
        <f>SUM(G16:G17)+1</f>
        <v>4864</v>
      </c>
      <c r="H18" s="30">
        <f>SUM(H16:H17)</f>
        <v>4427</v>
      </c>
      <c r="I18" s="30">
        <f>SUM(I16:I17)</f>
        <v>4684</v>
      </c>
      <c r="J18" s="30">
        <f t="shared" si="0"/>
        <v>257</v>
      </c>
      <c r="K18" s="56"/>
      <c r="L18" s="30">
        <f>SUM(L16:L17)</f>
        <v>4192</v>
      </c>
      <c r="M18" s="30">
        <f>SUM(M16:M17)</f>
        <v>5166</v>
      </c>
      <c r="N18" s="30">
        <f t="shared" si="4"/>
        <v>974</v>
      </c>
    </row>
    <row r="19" spans="2:14" x14ac:dyDescent="0.25">
      <c r="B19" s="6" t="s">
        <v>23</v>
      </c>
      <c r="C19" s="57" t="s">
        <v>15</v>
      </c>
      <c r="D19" s="26">
        <v>-332</v>
      </c>
      <c r="E19" s="57" t="s">
        <v>15</v>
      </c>
      <c r="F19" s="26">
        <v>-467</v>
      </c>
      <c r="G19" s="32">
        <v>-984</v>
      </c>
      <c r="H19" s="32">
        <v>230</v>
      </c>
      <c r="I19" s="32">
        <v>395</v>
      </c>
      <c r="J19" s="26">
        <f t="shared" si="0"/>
        <v>165</v>
      </c>
      <c r="L19" s="57" t="s">
        <v>15</v>
      </c>
      <c r="M19" s="57" t="s">
        <v>15</v>
      </c>
      <c r="N19" s="57" t="s">
        <v>15</v>
      </c>
    </row>
    <row r="20" spans="2:14" x14ac:dyDescent="0.25">
      <c r="B20" s="6" t="s">
        <v>24</v>
      </c>
      <c r="C20" s="57" t="s">
        <v>15</v>
      </c>
      <c r="D20" s="57" t="s">
        <v>15</v>
      </c>
      <c r="E20" s="57" t="s">
        <v>15</v>
      </c>
      <c r="F20" s="57" t="s">
        <v>15</v>
      </c>
      <c r="G20" s="32">
        <v>107</v>
      </c>
      <c r="H20" s="57" t="s">
        <v>15</v>
      </c>
      <c r="I20" s="32" t="s">
        <v>15</v>
      </c>
      <c r="J20" s="32" t="s">
        <v>15</v>
      </c>
      <c r="L20" s="57" t="s">
        <v>15</v>
      </c>
      <c r="M20" s="57" t="s">
        <v>15</v>
      </c>
      <c r="N20" s="57" t="s">
        <v>15</v>
      </c>
    </row>
    <row r="21" spans="2:14" x14ac:dyDescent="0.25">
      <c r="B21" s="6" t="s">
        <v>25</v>
      </c>
      <c r="C21" s="57" t="s">
        <v>15</v>
      </c>
      <c r="D21" s="57" t="s">
        <v>15</v>
      </c>
      <c r="E21" s="57" t="s">
        <v>15</v>
      </c>
      <c r="F21" s="26">
        <v>-115</v>
      </c>
      <c r="G21" s="32">
        <v>-142</v>
      </c>
      <c r="H21" s="32">
        <v>-48</v>
      </c>
      <c r="I21" s="32">
        <v>469</v>
      </c>
      <c r="J21" s="26">
        <f t="shared" si="0"/>
        <v>517</v>
      </c>
      <c r="L21" s="57" t="s">
        <v>15</v>
      </c>
      <c r="M21" s="32">
        <v>-12</v>
      </c>
      <c r="N21" s="26">
        <f>M21</f>
        <v>-12</v>
      </c>
    </row>
    <row r="22" spans="2:14" x14ac:dyDescent="0.25">
      <c r="B22" s="6" t="s">
        <v>26</v>
      </c>
      <c r="C22" s="57" t="s">
        <v>15</v>
      </c>
      <c r="D22" s="57" t="s">
        <v>15</v>
      </c>
      <c r="E22" s="57" t="s">
        <v>15</v>
      </c>
      <c r="F22" s="57" t="s">
        <v>15</v>
      </c>
      <c r="G22" s="57" t="s">
        <v>15</v>
      </c>
      <c r="H22" s="57" t="s">
        <v>15</v>
      </c>
      <c r="I22" s="32">
        <v>60.7</v>
      </c>
      <c r="J22" s="26">
        <f>I22</f>
        <v>60.7</v>
      </c>
      <c r="L22" s="32">
        <v>-4</v>
      </c>
      <c r="M22" s="57" t="s">
        <v>15</v>
      </c>
      <c r="N22" s="26">
        <f>-L22</f>
        <v>4</v>
      </c>
    </row>
    <row r="23" spans="2:14" x14ac:dyDescent="0.25">
      <c r="B23" s="5" t="s">
        <v>27</v>
      </c>
      <c r="C23" s="30">
        <f t="shared" ref="C23:I23" si="8">SUM(C18:C22)</f>
        <v>779</v>
      </c>
      <c r="D23" s="30">
        <f t="shared" si="8"/>
        <v>1099.7039999999997</v>
      </c>
      <c r="E23" s="30">
        <f t="shared" si="8"/>
        <v>1938.4239999999991</v>
      </c>
      <c r="F23" s="30">
        <f t="shared" si="8"/>
        <v>2565</v>
      </c>
      <c r="G23" s="30">
        <f t="shared" si="8"/>
        <v>3845</v>
      </c>
      <c r="H23" s="30">
        <f t="shared" si="8"/>
        <v>4609</v>
      </c>
      <c r="I23" s="30">
        <f t="shared" si="8"/>
        <v>5608.7</v>
      </c>
      <c r="J23" s="30">
        <f t="shared" si="0"/>
        <v>999.69999999999982</v>
      </c>
      <c r="K23" s="56"/>
      <c r="L23" s="30">
        <f>SUM(L18:L22)</f>
        <v>4188</v>
      </c>
      <c r="M23" s="30">
        <f>SUM(M18:M22)</f>
        <v>5154</v>
      </c>
      <c r="N23" s="30">
        <f t="shared" ref="N23" si="9">M23-L23</f>
        <v>966</v>
      </c>
    </row>
    <row r="24" spans="2:14" x14ac:dyDescent="0.25">
      <c r="B24" s="2"/>
      <c r="C24" s="35"/>
      <c r="D24" s="35"/>
      <c r="E24" s="35"/>
      <c r="F24" s="35"/>
      <c r="G24" s="35"/>
      <c r="H24" s="35"/>
      <c r="I24" s="35"/>
      <c r="J24" s="35"/>
      <c r="L24" s="35"/>
      <c r="M24" s="35"/>
      <c r="N24" s="35"/>
    </row>
    <row r="25" spans="2:14" x14ac:dyDescent="0.25">
      <c r="B25" s="5" t="s">
        <v>20</v>
      </c>
      <c r="C25" s="30">
        <f t="shared" ref="C25:I25" si="10">C16</f>
        <v>569</v>
      </c>
      <c r="D25" s="30">
        <f t="shared" si="10"/>
        <v>1231.7039999999997</v>
      </c>
      <c r="E25" s="30">
        <f t="shared" si="10"/>
        <v>1495.4239999999991</v>
      </c>
      <c r="F25" s="30">
        <f t="shared" si="10"/>
        <v>2555</v>
      </c>
      <c r="G25" s="30">
        <f t="shared" si="10"/>
        <v>4065</v>
      </c>
      <c r="H25" s="30">
        <f t="shared" si="10"/>
        <v>3369</v>
      </c>
      <c r="I25" s="30">
        <f t="shared" si="10"/>
        <v>3342</v>
      </c>
      <c r="J25" s="30">
        <f t="shared" si="0"/>
        <v>-27</v>
      </c>
      <c r="K25" s="56"/>
      <c r="L25" s="30">
        <f>L16</f>
        <v>3186</v>
      </c>
      <c r="M25" s="30">
        <f>M16</f>
        <v>3590</v>
      </c>
      <c r="N25" s="30">
        <f t="shared" ref="N25:N26" si="11">M25-L25</f>
        <v>404</v>
      </c>
    </row>
    <row r="26" spans="2:14" x14ac:dyDescent="0.25">
      <c r="B26" s="4" t="s">
        <v>28</v>
      </c>
      <c r="C26" s="32">
        <f t="shared" ref="C26:H26" si="12">-C10</f>
        <v>-208.66300000000001</v>
      </c>
      <c r="D26" s="32">
        <f t="shared" si="12"/>
        <v>-219.4</v>
      </c>
      <c r="E26" s="32">
        <f t="shared" si="12"/>
        <v>-218</v>
      </c>
      <c r="F26" s="32">
        <f t="shared" si="12"/>
        <v>-235</v>
      </c>
      <c r="G26" s="32">
        <f t="shared" si="12"/>
        <v>-258</v>
      </c>
      <c r="H26" s="32">
        <f t="shared" si="12"/>
        <v>-373</v>
      </c>
      <c r="I26" s="32">
        <v>-444</v>
      </c>
      <c r="J26" s="32">
        <f t="shared" si="0"/>
        <v>-71</v>
      </c>
      <c r="L26" s="32">
        <v>-301</v>
      </c>
      <c r="M26" s="32">
        <f>-M10</f>
        <v>-342</v>
      </c>
      <c r="N26" s="32">
        <f t="shared" si="11"/>
        <v>-41</v>
      </c>
    </row>
    <row r="27" spans="2:14" x14ac:dyDescent="0.25">
      <c r="B27" s="4" t="s">
        <v>14</v>
      </c>
      <c r="C27" s="57" t="s">
        <v>15</v>
      </c>
      <c r="D27" s="57" t="s">
        <v>15</v>
      </c>
      <c r="E27" s="57" t="s">
        <v>15</v>
      </c>
      <c r="F27" s="57" t="s">
        <v>15</v>
      </c>
      <c r="G27" s="32">
        <f>-G11</f>
        <v>-753</v>
      </c>
      <c r="H27" s="57" t="s">
        <v>15</v>
      </c>
      <c r="I27" s="57" t="s">
        <v>15</v>
      </c>
      <c r="J27" s="57" t="s">
        <v>15</v>
      </c>
      <c r="L27" s="57" t="s">
        <v>15</v>
      </c>
      <c r="M27" s="57" t="s">
        <v>15</v>
      </c>
      <c r="N27" s="57" t="s">
        <v>15</v>
      </c>
    </row>
    <row r="28" spans="2:14" x14ac:dyDescent="0.25">
      <c r="B28" s="4" t="s">
        <v>16</v>
      </c>
      <c r="C28" s="32">
        <f>-C12</f>
        <v>-16</v>
      </c>
      <c r="D28" s="32">
        <f>-D12</f>
        <v>60</v>
      </c>
      <c r="E28" s="32">
        <f>-E12</f>
        <v>16</v>
      </c>
      <c r="F28" s="57" t="s">
        <v>15</v>
      </c>
      <c r="G28" s="57" t="s">
        <v>15</v>
      </c>
      <c r="H28" s="57" t="s">
        <v>15</v>
      </c>
      <c r="I28" s="57" t="s">
        <v>15</v>
      </c>
      <c r="J28" s="57" t="s">
        <v>15</v>
      </c>
      <c r="L28" s="57" t="s">
        <v>15</v>
      </c>
      <c r="M28" s="57" t="s">
        <v>15</v>
      </c>
      <c r="N28" s="57" t="s">
        <v>15</v>
      </c>
    </row>
    <row r="29" spans="2:14" x14ac:dyDescent="0.25">
      <c r="B29" s="4" t="s">
        <v>29</v>
      </c>
      <c r="C29" s="32">
        <f t="shared" ref="C29:G29" si="13">C30+C32+C34+C36</f>
        <v>-608.46</v>
      </c>
      <c r="D29" s="32">
        <f t="shared" si="13"/>
        <v>-609.69000000000005</v>
      </c>
      <c r="E29" s="32">
        <f t="shared" si="13"/>
        <v>-779.56</v>
      </c>
      <c r="F29" s="32">
        <f t="shared" si="13"/>
        <v>-1036</v>
      </c>
      <c r="G29" s="32">
        <f t="shared" si="13"/>
        <v>-1732</v>
      </c>
      <c r="H29" s="32">
        <f>H30+H32+H34+H36+H35</f>
        <v>-1604</v>
      </c>
      <c r="I29" s="32">
        <f>I30+I32+I34+I36+I35</f>
        <v>-1485</v>
      </c>
      <c r="J29" s="32">
        <f t="shared" si="0"/>
        <v>119</v>
      </c>
      <c r="L29" s="32">
        <v>-1153</v>
      </c>
      <c r="M29" s="32">
        <f>M30+M32+M34+M36+M35</f>
        <v>-1233</v>
      </c>
      <c r="N29" s="32">
        <f t="shared" ref="N29:N38" si="14">M29-L29</f>
        <v>-80</v>
      </c>
    </row>
    <row r="30" spans="2:14" x14ac:dyDescent="0.25">
      <c r="B30" s="7" t="s">
        <v>30</v>
      </c>
      <c r="C30" s="32">
        <v>-517.46</v>
      </c>
      <c r="D30" s="32">
        <v>-526.69000000000005</v>
      </c>
      <c r="E30" s="32">
        <v>-725.56</v>
      </c>
      <c r="F30" s="32">
        <v>-863</v>
      </c>
      <c r="G30" s="32">
        <v>-1159</v>
      </c>
      <c r="H30" s="32">
        <v>-1375</v>
      </c>
      <c r="I30" s="32">
        <v>-974</v>
      </c>
      <c r="J30" s="32">
        <f t="shared" si="0"/>
        <v>401</v>
      </c>
      <c r="L30" s="32">
        <v>-782</v>
      </c>
      <c r="M30" s="32">
        <v>-752</v>
      </c>
      <c r="N30" s="32">
        <f t="shared" si="14"/>
        <v>30</v>
      </c>
    </row>
    <row r="31" spans="2:14" x14ac:dyDescent="0.25">
      <c r="B31" s="7" t="s">
        <v>31</v>
      </c>
      <c r="C31" s="32"/>
      <c r="D31" s="40">
        <v>9.7315847766867136E-2</v>
      </c>
      <c r="E31" s="40">
        <v>0.12236587152326026</v>
      </c>
      <c r="F31" s="40">
        <v>0.128</v>
      </c>
      <c r="G31" s="40">
        <v>0.17078241062162658</v>
      </c>
      <c r="H31" s="40">
        <v>0.18125985532402955</v>
      </c>
      <c r="I31" s="40">
        <v>0.11871214887008945</v>
      </c>
      <c r="J31" s="40">
        <f t="shared" si="0"/>
        <v>-6.2547706453940102E-2</v>
      </c>
      <c r="L31" s="40">
        <v>0.12482703283982935</v>
      </c>
      <c r="M31" s="40">
        <v>0.12798632310710553</v>
      </c>
      <c r="N31" s="40">
        <f t="shared" si="14"/>
        <v>3.1592902672761825E-3</v>
      </c>
    </row>
    <row r="32" spans="2:14" x14ac:dyDescent="0.25">
      <c r="B32" s="7" t="s">
        <v>32</v>
      </c>
      <c r="C32" s="32">
        <v>-39</v>
      </c>
      <c r="D32" s="32">
        <v>-37</v>
      </c>
      <c r="E32" s="32">
        <v>-24</v>
      </c>
      <c r="F32" s="32">
        <v>-138</v>
      </c>
      <c r="G32" s="32">
        <v>-435</v>
      </c>
      <c r="H32" s="32">
        <v>-212</v>
      </c>
      <c r="I32" s="32">
        <v>-245</v>
      </c>
      <c r="J32" s="32">
        <f t="shared" si="0"/>
        <v>-33</v>
      </c>
      <c r="L32" s="32">
        <v>-164</v>
      </c>
      <c r="M32" s="32">
        <v>-243</v>
      </c>
      <c r="N32" s="32">
        <f t="shared" si="14"/>
        <v>-79</v>
      </c>
    </row>
    <row r="33" spans="2:14" x14ac:dyDescent="0.25">
      <c r="B33" s="7" t="s">
        <v>33</v>
      </c>
      <c r="C33" s="32"/>
      <c r="D33" s="40">
        <v>0.10271374038139168</v>
      </c>
      <c r="E33" s="40">
        <v>6.7310452411078053E-2</v>
      </c>
      <c r="F33" s="40">
        <v>0.15222580413129241</v>
      </c>
      <c r="G33" s="40">
        <v>0.28209196038237444</v>
      </c>
      <c r="H33" s="40">
        <v>0.12853092515001147</v>
      </c>
      <c r="I33" s="40">
        <v>0.16164531217233705</v>
      </c>
      <c r="J33" s="40">
        <f t="shared" si="0"/>
        <v>3.3114387022325581E-2</v>
      </c>
      <c r="L33" s="40">
        <v>0.14655087804861824</v>
      </c>
      <c r="M33" s="40">
        <v>0.22244481046118134</v>
      </c>
      <c r="N33" s="40">
        <f t="shared" si="14"/>
        <v>7.5893932412563092E-2</v>
      </c>
    </row>
    <row r="34" spans="2:14" x14ac:dyDescent="0.25">
      <c r="B34" s="7" t="s">
        <v>34</v>
      </c>
      <c r="C34" s="32">
        <v>-43</v>
      </c>
      <c r="D34" s="32">
        <v>-36</v>
      </c>
      <c r="E34" s="32">
        <v>-40</v>
      </c>
      <c r="F34" s="32">
        <v>-79</v>
      </c>
      <c r="G34" s="32">
        <v>-243</v>
      </c>
      <c r="H34" s="32">
        <v>-114</v>
      </c>
      <c r="I34" s="32">
        <v>-162</v>
      </c>
      <c r="J34" s="32">
        <f t="shared" si="0"/>
        <v>-48</v>
      </c>
      <c r="L34" s="32">
        <v>-103</v>
      </c>
      <c r="M34" s="32">
        <v>-222</v>
      </c>
      <c r="N34" s="32">
        <f t="shared" si="14"/>
        <v>-119</v>
      </c>
    </row>
    <row r="35" spans="2:14" x14ac:dyDescent="0.25">
      <c r="B35" s="7" t="s">
        <v>35</v>
      </c>
      <c r="C35" s="57" t="s">
        <v>15</v>
      </c>
      <c r="D35" s="57" t="s">
        <v>15</v>
      </c>
      <c r="E35" s="57" t="s">
        <v>15</v>
      </c>
      <c r="F35" s="57" t="s">
        <v>15</v>
      </c>
      <c r="G35" s="57" t="s">
        <v>15</v>
      </c>
      <c r="H35" s="57">
        <v>-36</v>
      </c>
      <c r="I35" s="57">
        <v>-31</v>
      </c>
      <c r="J35" s="32">
        <f t="shared" si="0"/>
        <v>5</v>
      </c>
      <c r="L35" s="32">
        <v>-23</v>
      </c>
      <c r="M35" s="32">
        <v>-32</v>
      </c>
      <c r="N35" s="32">
        <f t="shared" si="14"/>
        <v>-9</v>
      </c>
    </row>
    <row r="36" spans="2:14" x14ac:dyDescent="0.25">
      <c r="B36" s="7" t="s">
        <v>36</v>
      </c>
      <c r="C36" s="32">
        <v>-9</v>
      </c>
      <c r="D36" s="32">
        <v>-10</v>
      </c>
      <c r="E36" s="32">
        <v>10</v>
      </c>
      <c r="F36" s="32">
        <v>44</v>
      </c>
      <c r="G36" s="32">
        <v>105</v>
      </c>
      <c r="H36" s="32">
        <v>133</v>
      </c>
      <c r="I36" s="32">
        <v>-73</v>
      </c>
      <c r="J36" s="32">
        <f t="shared" si="0"/>
        <v>-206</v>
      </c>
      <c r="L36" s="32">
        <v>-81</v>
      </c>
      <c r="M36" s="32">
        <v>16</v>
      </c>
      <c r="N36" s="32">
        <f t="shared" si="14"/>
        <v>97</v>
      </c>
    </row>
    <row r="37" spans="2:14" x14ac:dyDescent="0.25">
      <c r="B37" s="4" t="s">
        <v>37</v>
      </c>
      <c r="C37" s="32">
        <v>-13</v>
      </c>
      <c r="D37" s="32">
        <v>-127</v>
      </c>
      <c r="E37" s="32">
        <v>-137</v>
      </c>
      <c r="F37" s="32">
        <v>-296</v>
      </c>
      <c r="G37" s="32">
        <v>-574</v>
      </c>
      <c r="H37" s="32">
        <v>-358</v>
      </c>
      <c r="I37" s="32">
        <v>-325</v>
      </c>
      <c r="J37" s="32">
        <f t="shared" si="0"/>
        <v>33</v>
      </c>
      <c r="L37" s="32">
        <v>-385</v>
      </c>
      <c r="M37" s="32">
        <v>-511</v>
      </c>
      <c r="N37" s="32">
        <f t="shared" si="14"/>
        <v>-126</v>
      </c>
    </row>
    <row r="38" spans="2:14" x14ac:dyDescent="0.25">
      <c r="B38" s="5" t="s">
        <v>38</v>
      </c>
      <c r="C38" s="30">
        <f t="shared" ref="C38:H38" si="15">SUM(C25:C29,C37)</f>
        <v>-277.12300000000005</v>
      </c>
      <c r="D38" s="30">
        <f t="shared" si="15"/>
        <v>335.61399999999958</v>
      </c>
      <c r="E38" s="30">
        <f t="shared" si="15"/>
        <v>376.86399999999912</v>
      </c>
      <c r="F38" s="30">
        <f t="shared" si="15"/>
        <v>988</v>
      </c>
      <c r="G38" s="30">
        <f t="shared" si="15"/>
        <v>748</v>
      </c>
      <c r="H38" s="30">
        <f t="shared" si="15"/>
        <v>1034</v>
      </c>
      <c r="I38" s="30">
        <f>SUM(I25:I29,I37)</f>
        <v>1088</v>
      </c>
      <c r="J38" s="30">
        <f t="shared" si="0"/>
        <v>54</v>
      </c>
      <c r="K38" s="56"/>
      <c r="L38" s="30">
        <f t="shared" ref="L38" si="16">SUM(L25:L29,L37)</f>
        <v>1347</v>
      </c>
      <c r="M38" s="30">
        <f>SUM(M25:M29,M37)</f>
        <v>1504</v>
      </c>
      <c r="N38" s="30">
        <f t="shared" si="14"/>
        <v>157</v>
      </c>
    </row>
    <row r="39" spans="2:14" x14ac:dyDescent="0.25">
      <c r="B39" s="6" t="s">
        <v>23</v>
      </c>
      <c r="C39" s="57" t="s">
        <v>15</v>
      </c>
      <c r="D39" s="26">
        <v>-266</v>
      </c>
      <c r="E39" s="57" t="s">
        <v>15</v>
      </c>
      <c r="F39" s="26">
        <v>-373.6</v>
      </c>
      <c r="G39" s="26">
        <v>-768</v>
      </c>
      <c r="H39" s="26">
        <v>179</v>
      </c>
      <c r="I39" s="32">
        <v>308</v>
      </c>
      <c r="J39" s="26">
        <f t="shared" si="0"/>
        <v>129</v>
      </c>
      <c r="L39" s="57" t="s">
        <v>15</v>
      </c>
      <c r="M39" s="57" t="s">
        <v>15</v>
      </c>
      <c r="N39" s="57" t="s">
        <v>15</v>
      </c>
    </row>
    <row r="40" spans="2:14" x14ac:dyDescent="0.25">
      <c r="B40" s="6" t="s">
        <v>24</v>
      </c>
      <c r="C40" s="57" t="s">
        <v>15</v>
      </c>
      <c r="D40" s="57" t="s">
        <v>15</v>
      </c>
      <c r="E40" s="57" t="s">
        <v>15</v>
      </c>
      <c r="F40" s="57" t="s">
        <v>15</v>
      </c>
      <c r="G40" s="26">
        <v>107</v>
      </c>
      <c r="H40" s="57" t="s">
        <v>15</v>
      </c>
      <c r="I40" s="32" t="s">
        <v>15</v>
      </c>
      <c r="J40" s="32" t="s">
        <v>15</v>
      </c>
      <c r="L40" s="57" t="s">
        <v>15</v>
      </c>
      <c r="M40" s="32" t="s">
        <v>15</v>
      </c>
      <c r="N40" s="32" t="s">
        <v>15</v>
      </c>
    </row>
    <row r="41" spans="2:14" x14ac:dyDescent="0.25">
      <c r="B41" s="6" t="s">
        <v>39</v>
      </c>
      <c r="C41" s="57" t="s">
        <v>15</v>
      </c>
      <c r="D41" s="57" t="s">
        <v>15</v>
      </c>
      <c r="E41" s="57" t="s">
        <v>15</v>
      </c>
      <c r="F41" s="57" t="s">
        <v>15</v>
      </c>
      <c r="G41" s="26">
        <v>753</v>
      </c>
      <c r="H41" s="57" t="s">
        <v>15</v>
      </c>
      <c r="I41" s="32" t="s">
        <v>15</v>
      </c>
      <c r="J41" s="32" t="s">
        <v>15</v>
      </c>
      <c r="L41" s="57" t="s">
        <v>15</v>
      </c>
      <c r="M41" s="32" t="s">
        <v>15</v>
      </c>
      <c r="N41" s="32" t="s">
        <v>15</v>
      </c>
    </row>
    <row r="42" spans="2:14" x14ac:dyDescent="0.25">
      <c r="B42" s="6" t="s">
        <v>25</v>
      </c>
      <c r="C42" s="57" t="s">
        <v>15</v>
      </c>
      <c r="D42" s="57" t="s">
        <v>15</v>
      </c>
      <c r="E42" s="57" t="s">
        <v>15</v>
      </c>
      <c r="F42" s="26">
        <v>-92</v>
      </c>
      <c r="G42" s="26">
        <v>-110</v>
      </c>
      <c r="H42" s="26">
        <v>-38</v>
      </c>
      <c r="I42" s="32">
        <v>366</v>
      </c>
      <c r="J42" s="26">
        <f t="shared" si="0"/>
        <v>404</v>
      </c>
      <c r="L42" s="57" t="s">
        <v>15</v>
      </c>
      <c r="M42" s="32">
        <f>ROUND(M21*0.8,0)</f>
        <v>-10</v>
      </c>
      <c r="N42" s="32">
        <f>M42</f>
        <v>-10</v>
      </c>
    </row>
    <row r="43" spans="2:14" x14ac:dyDescent="0.25">
      <c r="B43" s="6" t="s">
        <v>26</v>
      </c>
      <c r="C43" s="57" t="s">
        <v>15</v>
      </c>
      <c r="D43" s="57" t="s">
        <v>15</v>
      </c>
      <c r="E43" s="57" t="s">
        <v>15</v>
      </c>
      <c r="F43" s="57" t="s">
        <v>15</v>
      </c>
      <c r="G43" s="57" t="s">
        <v>15</v>
      </c>
      <c r="H43" s="57" t="s">
        <v>15</v>
      </c>
      <c r="I43" s="32">
        <v>50</v>
      </c>
      <c r="J43" s="57">
        <f t="shared" ref="J43:J45" si="17">I43</f>
        <v>50</v>
      </c>
      <c r="L43" s="32">
        <v>3</v>
      </c>
      <c r="M43" s="57" t="s">
        <v>15</v>
      </c>
      <c r="N43" s="57">
        <f>-L43</f>
        <v>-3</v>
      </c>
    </row>
    <row r="44" spans="2:14" x14ac:dyDescent="0.25">
      <c r="B44" s="6" t="s">
        <v>40</v>
      </c>
      <c r="C44" s="57"/>
      <c r="D44" s="57"/>
      <c r="E44" s="57"/>
      <c r="F44" s="57"/>
      <c r="G44" s="57"/>
      <c r="H44" s="57"/>
      <c r="I44" s="32"/>
      <c r="J44" s="57"/>
      <c r="L44" s="57" t="s">
        <v>15</v>
      </c>
      <c r="M44" s="57">
        <v>103</v>
      </c>
      <c r="N44" s="57">
        <f>M44</f>
        <v>103</v>
      </c>
    </row>
    <row r="45" spans="2:14" x14ac:dyDescent="0.25">
      <c r="B45" s="6" t="s">
        <v>41</v>
      </c>
      <c r="C45" s="57" t="s">
        <v>15</v>
      </c>
      <c r="D45" s="57" t="s">
        <v>15</v>
      </c>
      <c r="E45" s="57" t="s">
        <v>15</v>
      </c>
      <c r="F45" s="57" t="s">
        <v>15</v>
      </c>
      <c r="G45" s="57" t="s">
        <v>15</v>
      </c>
      <c r="H45" s="57" t="s">
        <v>15</v>
      </c>
      <c r="I45" s="32">
        <v>66</v>
      </c>
      <c r="J45" s="57">
        <f t="shared" si="17"/>
        <v>66</v>
      </c>
      <c r="L45" s="57">
        <v>66</v>
      </c>
      <c r="M45" s="57" t="s">
        <v>15</v>
      </c>
      <c r="N45" s="57">
        <f>-L45</f>
        <v>-66</v>
      </c>
    </row>
    <row r="46" spans="2:14" x14ac:dyDescent="0.25">
      <c r="B46" s="5" t="s">
        <v>42</v>
      </c>
      <c r="C46" s="30">
        <f t="shared" ref="C46:I46" si="18">SUM(C38:C45)</f>
        <v>-277.12300000000005</v>
      </c>
      <c r="D46" s="30">
        <f t="shared" si="18"/>
        <v>69.613999999999578</v>
      </c>
      <c r="E46" s="30">
        <f t="shared" si="18"/>
        <v>376.86399999999912</v>
      </c>
      <c r="F46" s="30">
        <f t="shared" si="18"/>
        <v>522.4</v>
      </c>
      <c r="G46" s="30">
        <f t="shared" si="18"/>
        <v>730</v>
      </c>
      <c r="H46" s="30">
        <f t="shared" si="18"/>
        <v>1175</v>
      </c>
      <c r="I46" s="30">
        <f t="shared" si="18"/>
        <v>1878</v>
      </c>
      <c r="J46" s="30">
        <f t="shared" si="0"/>
        <v>703</v>
      </c>
      <c r="K46" s="56"/>
      <c r="L46" s="30">
        <f>SUM(L38:L45)</f>
        <v>1416</v>
      </c>
      <c r="M46" s="30">
        <f>SUM(M38:M45)</f>
        <v>1597</v>
      </c>
      <c r="N46" s="30">
        <f t="shared" ref="N46:N47" si="19">M46-L46</f>
        <v>181</v>
      </c>
    </row>
    <row r="47" spans="2:14" x14ac:dyDescent="0.25">
      <c r="B47" s="4" t="s">
        <v>43</v>
      </c>
      <c r="C47" s="58">
        <f t="shared" ref="C47:F47" si="20">C46*1000000/118106896712*100</f>
        <v>-0.23463744092417899</v>
      </c>
      <c r="D47" s="58">
        <f t="shared" si="20"/>
        <v>5.894151987563534E-2</v>
      </c>
      <c r="E47" s="58">
        <f t="shared" si="20"/>
        <v>0.31908720869956497</v>
      </c>
      <c r="F47" s="58">
        <f t="shared" si="20"/>
        <v>0.442311172796163</v>
      </c>
      <c r="G47" s="59">
        <f>G46*1000000/118106896712*100</f>
        <v>0.61808414268989076</v>
      </c>
      <c r="H47" s="59">
        <f>H46*1000000/118106896712*100</f>
        <v>0.99486146254879682</v>
      </c>
      <c r="I47" s="59">
        <f>I46*1000000/118106896712*100</f>
        <v>1.5900849588652257</v>
      </c>
      <c r="J47" s="58">
        <f t="shared" si="0"/>
        <v>0.5952234963164289</v>
      </c>
      <c r="L47" s="59">
        <f>L46*1000000/118106896712*100</f>
        <v>1.1989138986971033</v>
      </c>
      <c r="M47" s="59">
        <f>M46*1000000/118106896712*100</f>
        <v>1.352164898459939</v>
      </c>
      <c r="N47" s="58">
        <f t="shared" si="19"/>
        <v>0.15325099976283574</v>
      </c>
    </row>
    <row r="48" spans="2:14" x14ac:dyDescent="0.25">
      <c r="B48" s="4" t="s">
        <v>44</v>
      </c>
      <c r="C48" s="38" t="s">
        <v>15</v>
      </c>
      <c r="D48" s="38" t="s">
        <v>15</v>
      </c>
      <c r="E48" s="38" t="s">
        <v>15</v>
      </c>
      <c r="F48" s="38">
        <v>0.68</v>
      </c>
      <c r="G48" s="38">
        <v>0.64740941731074941</v>
      </c>
      <c r="H48" s="38">
        <v>0.60309906382978717</v>
      </c>
      <c r="I48" s="60">
        <f>I49/I46</f>
        <v>0.60383386581469645</v>
      </c>
      <c r="J48" s="38">
        <f t="shared" si="0"/>
        <v>7.348019849092724E-4</v>
      </c>
      <c r="L48" s="57" t="s">
        <v>15</v>
      </c>
      <c r="M48" s="57" t="s">
        <v>15</v>
      </c>
      <c r="N48" s="57" t="s">
        <v>15</v>
      </c>
    </row>
    <row r="49" spans="2:14" x14ac:dyDescent="0.25">
      <c r="B49" s="4" t="s">
        <v>45</v>
      </c>
      <c r="C49" s="38" t="s">
        <v>15</v>
      </c>
      <c r="D49" s="38" t="s">
        <v>15</v>
      </c>
      <c r="E49" s="38" t="s">
        <v>15</v>
      </c>
      <c r="F49" s="32">
        <v>354.23200000000003</v>
      </c>
      <c r="G49" s="32">
        <v>471.60887463684708</v>
      </c>
      <c r="H49" s="32">
        <v>708.64139999999998</v>
      </c>
      <c r="I49" s="32">
        <v>1134</v>
      </c>
      <c r="J49" s="32">
        <f t="shared" si="0"/>
        <v>425.35860000000002</v>
      </c>
      <c r="L49" s="57" t="s">
        <v>15</v>
      </c>
      <c r="M49" s="57" t="s">
        <v>15</v>
      </c>
      <c r="N49" s="57" t="s">
        <v>15</v>
      </c>
    </row>
    <row r="50" spans="2:14" x14ac:dyDescent="0.25">
      <c r="B50" s="4" t="s">
        <v>46</v>
      </c>
      <c r="C50" s="38" t="s">
        <v>15</v>
      </c>
      <c r="D50" s="38" t="s">
        <v>15</v>
      </c>
      <c r="E50" s="38" t="s">
        <v>15</v>
      </c>
      <c r="F50" s="59">
        <f>F49*1000000/118106896712*100</f>
        <v>0.29992490689496631</v>
      </c>
      <c r="G50" s="59">
        <f>G49*1000000/118106896712*100</f>
        <v>0.39930680406145175</v>
      </c>
      <c r="H50" s="59">
        <f>H49*1000000/118106896712*100</f>
        <v>0.60000001670351233</v>
      </c>
      <c r="I50" s="59">
        <v>0.96</v>
      </c>
      <c r="J50" s="59">
        <f t="shared" si="0"/>
        <v>0.35999998329648764</v>
      </c>
      <c r="L50" s="57" t="s">
        <v>15</v>
      </c>
      <c r="M50" s="57" t="s">
        <v>15</v>
      </c>
      <c r="N50" s="57" t="s">
        <v>15</v>
      </c>
    </row>
    <row r="51" spans="2:14" x14ac:dyDescent="0.25">
      <c r="B51" s="4"/>
      <c r="C51" s="61"/>
      <c r="D51" s="61"/>
      <c r="E51" s="61"/>
      <c r="F51" s="59"/>
      <c r="G51" s="59"/>
      <c r="H51" s="59"/>
      <c r="I51" s="59"/>
      <c r="J51" s="59"/>
      <c r="L51" s="59"/>
      <c r="M51" s="59"/>
      <c r="N51" s="59"/>
    </row>
    <row r="52" spans="2:14" x14ac:dyDescent="0.25">
      <c r="B52" s="5" t="s">
        <v>47</v>
      </c>
      <c r="C52" s="30">
        <v>146</v>
      </c>
      <c r="D52" s="30">
        <v>1095</v>
      </c>
      <c r="E52" s="30">
        <v>2004</v>
      </c>
      <c r="F52" s="30">
        <v>1923</v>
      </c>
      <c r="G52" s="30">
        <v>2122</v>
      </c>
      <c r="H52" s="30">
        <v>4168</v>
      </c>
      <c r="I52" s="30">
        <v>4315</v>
      </c>
      <c r="J52" s="30">
        <f t="shared" si="0"/>
        <v>147</v>
      </c>
      <c r="K52" s="56"/>
      <c r="L52" s="30">
        <v>2559</v>
      </c>
      <c r="M52" s="30">
        <v>4844</v>
      </c>
      <c r="N52" s="30">
        <f t="shared" ref="N52:N57" si="21">M52-L52</f>
        <v>2285</v>
      </c>
    </row>
    <row r="53" spans="2:14" x14ac:dyDescent="0.25">
      <c r="B53" s="4" t="s">
        <v>48</v>
      </c>
      <c r="C53" s="32">
        <v>-525</v>
      </c>
      <c r="D53" s="32">
        <v>-1093</v>
      </c>
      <c r="E53" s="32">
        <v>-1560</v>
      </c>
      <c r="F53" s="32">
        <v>-1747</v>
      </c>
      <c r="G53" s="32">
        <v>-1602</v>
      </c>
      <c r="H53" s="32">
        <v>-1621</v>
      </c>
      <c r="I53" s="32">
        <v>-2155</v>
      </c>
      <c r="J53" s="62">
        <f t="shared" si="0"/>
        <v>-534</v>
      </c>
      <c r="L53" s="32">
        <v>-1686</v>
      </c>
      <c r="M53" s="32">
        <v>-2278</v>
      </c>
      <c r="N53" s="62">
        <f t="shared" si="21"/>
        <v>-592</v>
      </c>
    </row>
    <row r="54" spans="2:14" x14ac:dyDescent="0.25">
      <c r="B54" s="5" t="s">
        <v>49</v>
      </c>
      <c r="C54" s="30">
        <f t="shared" ref="C54:H54" si="22">SUM(C52:C53)</f>
        <v>-379</v>
      </c>
      <c r="D54" s="30">
        <f t="shared" si="22"/>
        <v>2</v>
      </c>
      <c r="E54" s="30">
        <f t="shared" si="22"/>
        <v>444</v>
      </c>
      <c r="F54" s="30">
        <f t="shared" si="22"/>
        <v>176</v>
      </c>
      <c r="G54" s="30">
        <f t="shared" si="22"/>
        <v>520</v>
      </c>
      <c r="H54" s="30">
        <f t="shared" si="22"/>
        <v>2547</v>
      </c>
      <c r="I54" s="30">
        <f>SUM(I52:I53)</f>
        <v>2160</v>
      </c>
      <c r="J54" s="30">
        <f t="shared" si="0"/>
        <v>-387</v>
      </c>
      <c r="K54" s="56"/>
      <c r="L54" s="30">
        <f t="shared" ref="L54" si="23">SUM(L52:L53)</f>
        <v>873</v>
      </c>
      <c r="M54" s="30">
        <f>SUM(M52:M53)</f>
        <v>2566</v>
      </c>
      <c r="N54" s="30">
        <f t="shared" si="21"/>
        <v>1693</v>
      </c>
    </row>
    <row r="55" spans="2:14" x14ac:dyDescent="0.25">
      <c r="B55" s="4" t="s">
        <v>50</v>
      </c>
      <c r="C55" s="32">
        <v>-596</v>
      </c>
      <c r="D55" s="32">
        <v>-374.26</v>
      </c>
      <c r="E55" s="32">
        <v>-602</v>
      </c>
      <c r="F55" s="32">
        <v>-886</v>
      </c>
      <c r="G55" s="32">
        <v>-1047</v>
      </c>
      <c r="H55" s="32">
        <v>-1586</v>
      </c>
      <c r="I55" s="32">
        <v>-1211</v>
      </c>
      <c r="J55" s="62">
        <f t="shared" si="0"/>
        <v>375</v>
      </c>
      <c r="L55" s="32">
        <v>-1074</v>
      </c>
      <c r="M55" s="32">
        <v>-1130</v>
      </c>
      <c r="N55" s="62">
        <f t="shared" si="21"/>
        <v>-56</v>
      </c>
    </row>
    <row r="56" spans="2:14" x14ac:dyDescent="0.25">
      <c r="B56" s="4" t="s">
        <v>51</v>
      </c>
      <c r="C56" s="62">
        <v>-48</v>
      </c>
      <c r="D56" s="62">
        <v>-73</v>
      </c>
      <c r="E56" s="62">
        <v>-145</v>
      </c>
      <c r="F56" s="62">
        <v>-65</v>
      </c>
      <c r="G56" s="32">
        <v>-35</v>
      </c>
      <c r="H56" s="32">
        <v>-456</v>
      </c>
      <c r="I56" s="32">
        <v>-445</v>
      </c>
      <c r="J56" s="62">
        <f t="shared" si="0"/>
        <v>11</v>
      </c>
      <c r="L56" s="32">
        <v>-271</v>
      </c>
      <c r="M56" s="32">
        <v>-900</v>
      </c>
      <c r="N56" s="62">
        <f t="shared" si="21"/>
        <v>-629</v>
      </c>
    </row>
    <row r="57" spans="2:14" x14ac:dyDescent="0.25">
      <c r="B57" s="5" t="s">
        <v>52</v>
      </c>
      <c r="C57" s="30">
        <f>SUM(C54:C56)</f>
        <v>-1023</v>
      </c>
      <c r="D57" s="30">
        <f>SUM(D54:D56)</f>
        <v>-445.26</v>
      </c>
      <c r="E57" s="30">
        <f>SUM(E54:E56)</f>
        <v>-303</v>
      </c>
      <c r="F57" s="30">
        <f>SUM(F54:F56)</f>
        <v>-775</v>
      </c>
      <c r="G57" s="30">
        <f t="shared" ref="G57:H57" si="24">SUM(G54:G56)</f>
        <v>-562</v>
      </c>
      <c r="H57" s="30">
        <f t="shared" si="24"/>
        <v>505</v>
      </c>
      <c r="I57" s="30">
        <f>SUM(I54:I56)</f>
        <v>504</v>
      </c>
      <c r="J57" s="30">
        <f t="shared" si="0"/>
        <v>-1</v>
      </c>
      <c r="K57" s="56"/>
      <c r="L57" s="30">
        <f t="shared" ref="L57" si="25">SUM(L54:L56)</f>
        <v>-472</v>
      </c>
      <c r="M57" s="30">
        <f>SUM(M54:M56)</f>
        <v>536</v>
      </c>
      <c r="N57" s="30">
        <f t="shared" si="21"/>
        <v>1008</v>
      </c>
    </row>
    <row r="58" spans="2:14" x14ac:dyDescent="0.25">
      <c r="B58" s="6"/>
      <c r="D58" s="22"/>
      <c r="E58" s="22"/>
      <c r="F58" s="22"/>
      <c r="G58" s="22"/>
      <c r="H58" s="22"/>
      <c r="I58" s="22"/>
      <c r="J58" s="22"/>
      <c r="L58" s="22"/>
      <c r="M58" s="22"/>
      <c r="N58" s="22"/>
    </row>
    <row r="59" spans="2:14" x14ac:dyDescent="0.25">
      <c r="B59" s="6" t="s">
        <v>53</v>
      </c>
      <c r="C59" s="57" t="s">
        <v>15</v>
      </c>
      <c r="D59" s="22">
        <v>5461</v>
      </c>
      <c r="E59" s="22">
        <v>6083</v>
      </c>
      <c r="F59" s="49">
        <v>6490</v>
      </c>
      <c r="G59" s="49">
        <v>7303</v>
      </c>
      <c r="H59" s="49">
        <v>8702</v>
      </c>
      <c r="I59" s="49">
        <f>H63</f>
        <v>8846.7929999999997</v>
      </c>
      <c r="J59" s="49">
        <f t="shared" si="0"/>
        <v>144.79299999999967</v>
      </c>
      <c r="L59" s="32">
        <v>8846.7929999999997</v>
      </c>
      <c r="M59" s="49">
        <f>I63</f>
        <v>9399</v>
      </c>
      <c r="N59" s="49">
        <f t="shared" ref="N59:N63" si="26">M59-L59</f>
        <v>552.20700000000033</v>
      </c>
    </row>
    <row r="60" spans="2:14" x14ac:dyDescent="0.25">
      <c r="B60" s="8" t="s">
        <v>52</v>
      </c>
      <c r="C60" s="57" t="s">
        <v>15</v>
      </c>
      <c r="D60" s="49">
        <v>445.26</v>
      </c>
      <c r="E60" s="49">
        <v>303</v>
      </c>
      <c r="F60" s="49">
        <v>775</v>
      </c>
      <c r="G60" s="49">
        <v>562</v>
      </c>
      <c r="H60" s="49">
        <v>-505</v>
      </c>
      <c r="I60" s="49">
        <f>-I57</f>
        <v>-504</v>
      </c>
      <c r="J60" s="49">
        <f t="shared" si="0"/>
        <v>1</v>
      </c>
      <c r="L60" s="32">
        <v>472</v>
      </c>
      <c r="M60" s="49">
        <f>-M57</f>
        <v>-536</v>
      </c>
      <c r="N60" s="49">
        <f t="shared" si="26"/>
        <v>-1008</v>
      </c>
    </row>
    <row r="61" spans="2:14" x14ac:dyDescent="0.25">
      <c r="B61" s="8" t="s">
        <v>54</v>
      </c>
      <c r="C61" s="57" t="s">
        <v>15</v>
      </c>
      <c r="D61" s="57" t="s">
        <v>15</v>
      </c>
      <c r="E61" s="57" t="s">
        <v>15</v>
      </c>
      <c r="F61" s="57" t="s">
        <v>15</v>
      </c>
      <c r="G61" s="49">
        <v>354</v>
      </c>
      <c r="H61" s="49">
        <v>471.60887463684708</v>
      </c>
      <c r="I61" s="49">
        <v>708.64</v>
      </c>
      <c r="J61" s="49">
        <f t="shared" si="0"/>
        <v>237.03112536315291</v>
      </c>
      <c r="L61" s="32">
        <v>709</v>
      </c>
      <c r="M61" s="49">
        <v>1134</v>
      </c>
      <c r="N61" s="49">
        <f t="shared" si="26"/>
        <v>425</v>
      </c>
    </row>
    <row r="62" spans="2:14" x14ac:dyDescent="0.25">
      <c r="B62" s="8" t="s">
        <v>55</v>
      </c>
      <c r="C62" s="57" t="s">
        <v>15</v>
      </c>
      <c r="D62" s="49">
        <v>176.74</v>
      </c>
      <c r="E62" s="49">
        <v>107</v>
      </c>
      <c r="F62" s="49">
        <v>38</v>
      </c>
      <c r="G62" s="49">
        <v>483</v>
      </c>
      <c r="H62" s="49">
        <v>178.18412536315191</v>
      </c>
      <c r="I62" s="49">
        <v>347.56700000000092</v>
      </c>
      <c r="J62" s="49">
        <f t="shared" si="0"/>
        <v>169.38287463684901</v>
      </c>
      <c r="L62" s="32">
        <v>-158.79300000000001</v>
      </c>
      <c r="M62" s="49">
        <v>-202</v>
      </c>
      <c r="N62" s="49">
        <f t="shared" si="26"/>
        <v>-43.206999999999994</v>
      </c>
    </row>
    <row r="63" spans="2:14" x14ac:dyDescent="0.25">
      <c r="B63" s="6" t="s">
        <v>56</v>
      </c>
      <c r="C63" s="49">
        <v>5461</v>
      </c>
      <c r="D63" s="49">
        <v>6083</v>
      </c>
      <c r="E63" s="49">
        <v>6493</v>
      </c>
      <c r="F63" s="49">
        <v>7303</v>
      </c>
      <c r="G63" s="49">
        <v>8702</v>
      </c>
      <c r="H63" s="49">
        <v>8846.7929999999997</v>
      </c>
      <c r="I63" s="49">
        <v>9399</v>
      </c>
      <c r="J63" s="49">
        <f t="shared" si="0"/>
        <v>552.20700000000033</v>
      </c>
      <c r="L63" s="32">
        <v>9869</v>
      </c>
      <c r="M63" s="49">
        <f>SUM(M59:M62)</f>
        <v>9795</v>
      </c>
      <c r="N63" s="49">
        <f t="shared" si="26"/>
        <v>-74</v>
      </c>
    </row>
    <row r="64" spans="2:14" x14ac:dyDescent="0.25">
      <c r="B64" s="5" t="s">
        <v>57</v>
      </c>
      <c r="C64" s="51">
        <f>ROUND(C63/C23,1)</f>
        <v>7</v>
      </c>
      <c r="D64" s="51">
        <f>ROUND(D63/D23,1)</f>
        <v>5.5</v>
      </c>
      <c r="E64" s="51">
        <v>3.4</v>
      </c>
      <c r="F64" s="51">
        <f>ROUND(F63/F23,1)</f>
        <v>2.8</v>
      </c>
      <c r="G64" s="51">
        <f>ROUND(G63/G23,1)</f>
        <v>2.2999999999999998</v>
      </c>
      <c r="H64" s="51">
        <f>ROUND(H63/H23,1)</f>
        <v>1.9</v>
      </c>
      <c r="I64" s="51">
        <f>ROUND(I63/I23,1)</f>
        <v>1.7</v>
      </c>
      <c r="J64" s="51">
        <f t="shared" si="0"/>
        <v>-0.19999999999999996</v>
      </c>
      <c r="K64" s="56"/>
      <c r="L64" s="51" t="s">
        <v>15</v>
      </c>
      <c r="M64" s="51" t="s">
        <v>15</v>
      </c>
      <c r="N64" s="51" t="s">
        <v>15</v>
      </c>
    </row>
  </sheetData>
  <pageMargins left="0.7" right="0.7" top="0.75" bottom="0.75" header="0.3" footer="0.3"/>
  <pageSetup paperSize="9" scale="48" orientation="portrait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U35"/>
  <sheetViews>
    <sheetView showGridLines="0" zoomScaleNormal="100" workbookViewId="0">
      <pane xSplit="2" ySplit="3" topLeftCell="C7" activePane="bottomRight" state="frozen"/>
      <selection activeCell="Q60" sqref="Q60"/>
      <selection pane="topRight" activeCell="Q60" sqref="Q60"/>
      <selection pane="bottomLeft" activeCell="Q60" sqref="Q60"/>
      <selection pane="bottomRight" activeCell="O33" sqref="O33"/>
    </sheetView>
  </sheetViews>
  <sheetFormatPr defaultColWidth="8.85546875" defaultRowHeight="15" x14ac:dyDescent="0.25"/>
  <cols>
    <col min="1" max="1" width="8.42578125" customWidth="1"/>
    <col min="2" max="2" width="54.140625" customWidth="1"/>
    <col min="3" max="10" width="10.5703125" style="45" customWidth="1"/>
    <col min="11" max="11" width="8.140625" style="45" customWidth="1"/>
    <col min="12" max="14" width="10.5703125" style="45" customWidth="1"/>
  </cols>
  <sheetData>
    <row r="1" spans="2:14" x14ac:dyDescent="0.25">
      <c r="C1" s="22"/>
      <c r="D1" s="22"/>
      <c r="E1" s="22"/>
      <c r="F1" s="23"/>
      <c r="G1" s="23"/>
      <c r="H1" s="23"/>
      <c r="J1" s="23"/>
      <c r="L1" s="23"/>
      <c r="M1" s="47"/>
      <c r="N1" s="23"/>
    </row>
    <row r="2" spans="2:14" x14ac:dyDescent="0.25">
      <c r="B2" s="9" t="s">
        <v>58</v>
      </c>
      <c r="C2" s="17" t="s">
        <v>1</v>
      </c>
      <c r="D2" s="17" t="s">
        <v>1</v>
      </c>
      <c r="E2" s="17" t="s">
        <v>1</v>
      </c>
      <c r="F2" s="17" t="s">
        <v>1</v>
      </c>
      <c r="G2" s="17" t="s">
        <v>1</v>
      </c>
      <c r="H2" s="17" t="s">
        <v>1</v>
      </c>
      <c r="I2" s="17" t="s">
        <v>1</v>
      </c>
      <c r="J2" s="17" t="s">
        <v>2</v>
      </c>
      <c r="K2" s="25"/>
      <c r="L2" s="18" t="str">
        <f>FactSheet_Cons!L2</f>
        <v>9M</v>
      </c>
      <c r="M2" s="18" t="str">
        <f>FactSheet_Cons!M2</f>
        <v>9M</v>
      </c>
      <c r="N2" s="18" t="str">
        <f>FactSheet_Cons!N2</f>
        <v>Delta</v>
      </c>
    </row>
    <row r="3" spans="2:14" ht="15.75" thickBot="1" x14ac:dyDescent="0.3">
      <c r="B3" s="10" t="s">
        <v>4</v>
      </c>
      <c r="C3" s="19">
        <v>2014</v>
      </c>
      <c r="D3" s="19">
        <v>2015</v>
      </c>
      <c r="E3" s="19">
        <v>2016</v>
      </c>
      <c r="F3" s="19">
        <v>2017</v>
      </c>
      <c r="G3" s="19">
        <v>2018</v>
      </c>
      <c r="H3" s="19">
        <v>2019</v>
      </c>
      <c r="I3" s="20">
        <v>2020</v>
      </c>
      <c r="J3" s="46" t="s">
        <v>5</v>
      </c>
      <c r="K3" s="25"/>
      <c r="L3" s="20">
        <f>FactSheet_Cons!L3</f>
        <v>2020</v>
      </c>
      <c r="M3" s="20">
        <f>FactSheet_Cons!M3</f>
        <v>2021</v>
      </c>
      <c r="N3" s="21" t="str">
        <f>FactSheet_Cons!N3</f>
        <v>20-21</v>
      </c>
    </row>
    <row r="4" spans="2:14" x14ac:dyDescent="0.25">
      <c r="B4" s="6" t="s">
        <v>59</v>
      </c>
      <c r="C4" s="26">
        <v>299.22800000000018</v>
      </c>
      <c r="D4" s="26">
        <v>311.61800000000056</v>
      </c>
      <c r="E4" s="26">
        <v>312.18900000000048</v>
      </c>
      <c r="F4" s="26">
        <v>334.85956230004615</v>
      </c>
      <c r="G4" s="26">
        <v>621</v>
      </c>
      <c r="H4" s="26">
        <v>657</v>
      </c>
      <c r="I4" s="26">
        <v>738</v>
      </c>
      <c r="J4" s="26">
        <f>I4-H4</f>
        <v>81</v>
      </c>
      <c r="L4" s="26">
        <v>554</v>
      </c>
      <c r="M4" s="26">
        <v>693</v>
      </c>
      <c r="N4" s="26">
        <f>M4-L4</f>
        <v>139</v>
      </c>
    </row>
    <row r="5" spans="2:14" x14ac:dyDescent="0.25">
      <c r="B5" s="6" t="s">
        <v>60</v>
      </c>
      <c r="C5" s="26">
        <v>22.606147221013639</v>
      </c>
      <c r="D5" s="26">
        <v>72.397000000000673</v>
      </c>
      <c r="E5" s="26">
        <v>144.58423525436825</v>
      </c>
      <c r="F5" s="26">
        <v>73.956999999999894</v>
      </c>
      <c r="G5" s="26">
        <v>46</v>
      </c>
      <c r="H5" s="26">
        <v>97</v>
      </c>
      <c r="I5" s="26">
        <v>482</v>
      </c>
      <c r="J5" s="26">
        <f t="shared" ref="J5:J19" si="0">I5-H5</f>
        <v>385</v>
      </c>
      <c r="L5" s="26">
        <v>306</v>
      </c>
      <c r="M5" s="26">
        <v>245</v>
      </c>
      <c r="N5" s="26">
        <f t="shared" ref="N5:N19" si="1">M5-L5</f>
        <v>-61</v>
      </c>
    </row>
    <row r="6" spans="2:14" x14ac:dyDescent="0.25">
      <c r="B6" s="6" t="s">
        <v>61</v>
      </c>
      <c r="C6" s="29" t="s">
        <v>15</v>
      </c>
      <c r="D6" s="29" t="s">
        <v>15</v>
      </c>
      <c r="E6" s="29" t="s">
        <v>15</v>
      </c>
      <c r="F6" s="29" t="s">
        <v>15</v>
      </c>
      <c r="G6" s="26">
        <v>11</v>
      </c>
      <c r="H6" s="26">
        <v>19</v>
      </c>
      <c r="I6" s="26">
        <v>21</v>
      </c>
      <c r="J6" s="29">
        <f t="shared" si="0"/>
        <v>2</v>
      </c>
      <c r="K6" s="48"/>
      <c r="L6" s="26">
        <v>15</v>
      </c>
      <c r="M6" s="26">
        <v>66</v>
      </c>
      <c r="N6" s="29">
        <f t="shared" si="1"/>
        <v>51</v>
      </c>
    </row>
    <row r="7" spans="2:14" x14ac:dyDescent="0.25">
      <c r="B7" s="6" t="s">
        <v>62</v>
      </c>
      <c r="C7" s="26">
        <v>-173.78114722101355</v>
      </c>
      <c r="D7" s="26">
        <v>-223.7378191757397</v>
      </c>
      <c r="E7" s="26">
        <v>-230.84508382045973</v>
      </c>
      <c r="F7" s="26">
        <v>-246.28291100266162</v>
      </c>
      <c r="G7" s="26">
        <v>-323</v>
      </c>
      <c r="H7" s="26">
        <v>-325</v>
      </c>
      <c r="I7" s="26">
        <v>-385</v>
      </c>
      <c r="J7" s="26">
        <f t="shared" si="0"/>
        <v>-60</v>
      </c>
      <c r="K7" s="47"/>
      <c r="L7" s="26">
        <v>-262</v>
      </c>
      <c r="M7" s="26">
        <v>-315</v>
      </c>
      <c r="N7" s="26">
        <f t="shared" si="1"/>
        <v>-53</v>
      </c>
    </row>
    <row r="8" spans="2:14" x14ac:dyDescent="0.25">
      <c r="B8" s="6" t="s">
        <v>63</v>
      </c>
      <c r="C8" s="26">
        <f>SUM(C9:C11)</f>
        <v>11.761999999999986</v>
      </c>
      <c r="D8" s="26">
        <f t="shared" ref="D8:I8" si="2">SUM(D9:D11)</f>
        <v>111.092</v>
      </c>
      <c r="E8" s="26">
        <f t="shared" si="2"/>
        <v>70.445821000000009</v>
      </c>
      <c r="F8" s="26">
        <f t="shared" si="2"/>
        <v>88.808999999999997</v>
      </c>
      <c r="G8" s="26">
        <f t="shared" si="2"/>
        <v>58</v>
      </c>
      <c r="H8" s="26">
        <f t="shared" si="2"/>
        <v>120</v>
      </c>
      <c r="I8" s="26">
        <f t="shared" si="2"/>
        <v>42</v>
      </c>
      <c r="J8" s="26">
        <f t="shared" si="0"/>
        <v>-78</v>
      </c>
      <c r="L8" s="26">
        <f t="shared" ref="L8:M8" si="3">SUM(L9:L11)</f>
        <v>28</v>
      </c>
      <c r="M8" s="26">
        <f t="shared" si="3"/>
        <v>102</v>
      </c>
      <c r="N8" s="26">
        <f t="shared" si="1"/>
        <v>74</v>
      </c>
    </row>
    <row r="9" spans="2:14" x14ac:dyDescent="0.25">
      <c r="B9" s="8" t="s">
        <v>64</v>
      </c>
      <c r="C9" s="26">
        <v>-165.72300000000001</v>
      </c>
      <c r="D9" s="26">
        <v>-131.27500000000001</v>
      </c>
      <c r="E9" s="26">
        <v>-86.338178999999997</v>
      </c>
      <c r="F9" s="26">
        <v>-75.184078999999997</v>
      </c>
      <c r="G9" s="26">
        <v>-84</v>
      </c>
      <c r="H9" s="26">
        <v>-63</v>
      </c>
      <c r="I9" s="26">
        <v>-142</v>
      </c>
      <c r="J9" s="26">
        <f t="shared" si="0"/>
        <v>-79</v>
      </c>
      <c r="L9" s="26">
        <v>-92</v>
      </c>
      <c r="M9" s="26">
        <v>-49</v>
      </c>
      <c r="N9" s="26">
        <f t="shared" si="1"/>
        <v>43</v>
      </c>
    </row>
    <row r="10" spans="2:14" x14ac:dyDescent="0.25">
      <c r="B10" s="8" t="s">
        <v>65</v>
      </c>
      <c r="C10" s="26">
        <v>79.484999999999999</v>
      </c>
      <c r="D10" s="26">
        <v>86.367000000000004</v>
      </c>
      <c r="E10" s="26">
        <v>66.784000000000006</v>
      </c>
      <c r="F10" s="26">
        <v>70.993078999999994</v>
      </c>
      <c r="G10" s="26">
        <v>84</v>
      </c>
      <c r="H10" s="26">
        <v>144</v>
      </c>
      <c r="I10" s="26">
        <v>138</v>
      </c>
      <c r="J10" s="26">
        <f t="shared" si="0"/>
        <v>-6</v>
      </c>
      <c r="L10" s="26">
        <v>100</v>
      </c>
      <c r="M10" s="26">
        <v>115</v>
      </c>
      <c r="N10" s="26">
        <f t="shared" si="1"/>
        <v>15</v>
      </c>
    </row>
    <row r="11" spans="2:14" x14ac:dyDescent="0.25">
      <c r="B11" s="8" t="s">
        <v>66</v>
      </c>
      <c r="C11" s="26">
        <v>98</v>
      </c>
      <c r="D11" s="26">
        <v>156</v>
      </c>
      <c r="E11" s="26">
        <v>90</v>
      </c>
      <c r="F11" s="26">
        <v>93</v>
      </c>
      <c r="G11" s="26">
        <v>58</v>
      </c>
      <c r="H11" s="26">
        <v>39</v>
      </c>
      <c r="I11" s="26">
        <v>46</v>
      </c>
      <c r="J11" s="26">
        <f t="shared" si="0"/>
        <v>7</v>
      </c>
      <c r="L11" s="26">
        <v>20</v>
      </c>
      <c r="M11" s="26">
        <v>36</v>
      </c>
      <c r="N11" s="26">
        <f t="shared" si="1"/>
        <v>16</v>
      </c>
    </row>
    <row r="12" spans="2:14" x14ac:dyDescent="0.25">
      <c r="B12" s="6" t="s">
        <v>36</v>
      </c>
      <c r="C12" s="26">
        <v>-14.565</v>
      </c>
      <c r="D12" s="26">
        <v>8.3518759999999972</v>
      </c>
      <c r="E12" s="26">
        <v>-6.4528210000000072</v>
      </c>
      <c r="F12" s="26">
        <v>-4.5625489498420002</v>
      </c>
      <c r="G12" s="26">
        <v>-23</v>
      </c>
      <c r="H12" s="26">
        <v>-9</v>
      </c>
      <c r="I12" s="26">
        <v>-19</v>
      </c>
      <c r="J12" s="26">
        <f t="shared" si="0"/>
        <v>-10</v>
      </c>
      <c r="L12" s="26">
        <v>3</v>
      </c>
      <c r="M12" s="26">
        <v>-18</v>
      </c>
      <c r="N12" s="26">
        <f t="shared" si="1"/>
        <v>-21</v>
      </c>
    </row>
    <row r="13" spans="2:14" x14ac:dyDescent="0.25">
      <c r="B13" s="5" t="s">
        <v>27</v>
      </c>
      <c r="C13" s="30">
        <f>SUM(C4:C8,C12)</f>
        <v>145.25000000000028</v>
      </c>
      <c r="D13" s="30">
        <f t="shared" ref="D13:I13" si="4">SUM(D4:D8,D12)</f>
        <v>279.72105682426155</v>
      </c>
      <c r="E13" s="30">
        <f t="shared" si="4"/>
        <v>289.92115143390896</v>
      </c>
      <c r="F13" s="30">
        <f t="shared" si="4"/>
        <v>246.7801023475424</v>
      </c>
      <c r="G13" s="30">
        <f t="shared" si="4"/>
        <v>390</v>
      </c>
      <c r="H13" s="30">
        <f t="shared" si="4"/>
        <v>559</v>
      </c>
      <c r="I13" s="30">
        <f t="shared" si="4"/>
        <v>879</v>
      </c>
      <c r="J13" s="30">
        <f t="shared" si="0"/>
        <v>320</v>
      </c>
      <c r="L13" s="30">
        <f t="shared" ref="L13:M13" si="5">SUM(L4:L8,L12)</f>
        <v>644</v>
      </c>
      <c r="M13" s="30">
        <f t="shared" si="5"/>
        <v>773</v>
      </c>
      <c r="N13" s="30">
        <f t="shared" si="1"/>
        <v>129</v>
      </c>
    </row>
    <row r="14" spans="2:14" x14ac:dyDescent="0.25">
      <c r="B14" s="4" t="s">
        <v>67</v>
      </c>
      <c r="C14" s="32">
        <v>-94.125463529883277</v>
      </c>
      <c r="D14" s="32">
        <v>84.147117730128457</v>
      </c>
      <c r="E14" s="32">
        <v>-101.23108797954657</v>
      </c>
      <c r="F14" s="26">
        <v>14</v>
      </c>
      <c r="G14" s="26">
        <v>-454</v>
      </c>
      <c r="H14" s="26">
        <v>811</v>
      </c>
      <c r="I14" s="26">
        <v>-119</v>
      </c>
      <c r="J14" s="26">
        <f t="shared" si="0"/>
        <v>-930</v>
      </c>
      <c r="L14" s="26">
        <v>-376</v>
      </c>
      <c r="M14" s="26">
        <v>-542</v>
      </c>
      <c r="N14" s="26">
        <f t="shared" si="1"/>
        <v>-166</v>
      </c>
    </row>
    <row r="15" spans="2:14" x14ac:dyDescent="0.25">
      <c r="B15" s="4" t="s">
        <v>68</v>
      </c>
      <c r="C15" s="32">
        <v>50.718258292059382</v>
      </c>
      <c r="D15" s="32">
        <v>62.977060449999662</v>
      </c>
      <c r="E15" s="32">
        <v>75.537088250000323</v>
      </c>
      <c r="F15" s="26">
        <v>140.46049025315006</v>
      </c>
      <c r="G15" s="26">
        <v>246</v>
      </c>
      <c r="H15" s="26">
        <v>64</v>
      </c>
      <c r="I15" s="26">
        <v>-25</v>
      </c>
      <c r="J15" s="26">
        <f t="shared" si="0"/>
        <v>-89</v>
      </c>
      <c r="L15" s="26">
        <v>-40</v>
      </c>
      <c r="M15" s="26">
        <v>30</v>
      </c>
      <c r="N15" s="26">
        <f t="shared" si="1"/>
        <v>70</v>
      </c>
    </row>
    <row r="16" spans="2:14" x14ac:dyDescent="0.25">
      <c r="B16" s="4" t="s">
        <v>69</v>
      </c>
      <c r="C16" s="32">
        <v>-8.2237827219789352</v>
      </c>
      <c r="D16" s="32">
        <v>39.088979237840363</v>
      </c>
      <c r="E16" s="32">
        <v>93.439336224535054</v>
      </c>
      <c r="F16" s="26">
        <v>-72.272592600692462</v>
      </c>
      <c r="G16" s="26">
        <v>-317</v>
      </c>
      <c r="H16" s="26">
        <v>342</v>
      </c>
      <c r="I16" s="26">
        <v>46</v>
      </c>
      <c r="J16" s="26">
        <f t="shared" si="0"/>
        <v>-296</v>
      </c>
      <c r="L16" s="26">
        <v>17</v>
      </c>
      <c r="M16" s="26">
        <v>59</v>
      </c>
      <c r="N16" s="26">
        <f t="shared" si="1"/>
        <v>42</v>
      </c>
    </row>
    <row r="17" spans="2:14" x14ac:dyDescent="0.25">
      <c r="B17" s="5" t="s">
        <v>47</v>
      </c>
      <c r="C17" s="30">
        <f t="shared" ref="C17:H17" si="6">SUM(C13:C16)</f>
        <v>93.619012040197461</v>
      </c>
      <c r="D17" s="30">
        <f t="shared" si="6"/>
        <v>465.93421424223004</v>
      </c>
      <c r="E17" s="30">
        <f t="shared" si="6"/>
        <v>357.66648792889777</v>
      </c>
      <c r="F17" s="30">
        <f t="shared" si="6"/>
        <v>328.96800000000002</v>
      </c>
      <c r="G17" s="30">
        <f t="shared" si="6"/>
        <v>-135</v>
      </c>
      <c r="H17" s="30">
        <f t="shared" si="6"/>
        <v>1776</v>
      </c>
      <c r="I17" s="30">
        <f t="shared" ref="I17" si="7">SUM(I13:I16)</f>
        <v>781</v>
      </c>
      <c r="J17" s="30">
        <f t="shared" si="0"/>
        <v>-995</v>
      </c>
      <c r="L17" s="30">
        <f t="shared" ref="L17:M17" si="8">SUM(L13:L16)</f>
        <v>245</v>
      </c>
      <c r="M17" s="30">
        <f t="shared" si="8"/>
        <v>320</v>
      </c>
      <c r="N17" s="30">
        <f t="shared" si="1"/>
        <v>75</v>
      </c>
    </row>
    <row r="18" spans="2:14" x14ac:dyDescent="0.25">
      <c r="B18" s="4" t="s">
        <v>48</v>
      </c>
      <c r="C18" s="32">
        <v>-45.805712960197368</v>
      </c>
      <c r="D18" s="32">
        <v>-45.947109931561464</v>
      </c>
      <c r="E18" s="32">
        <v>-35.093000000000004</v>
      </c>
      <c r="F18" s="26">
        <v>-29.882000000000001</v>
      </c>
      <c r="G18" s="26">
        <f>-33-5</f>
        <v>-38</v>
      </c>
      <c r="H18" s="26">
        <f>-47-4</f>
        <v>-51</v>
      </c>
      <c r="I18" s="26">
        <v>-39</v>
      </c>
      <c r="J18" s="26">
        <f t="shared" si="0"/>
        <v>12</v>
      </c>
      <c r="L18" s="26">
        <v>-31</v>
      </c>
      <c r="M18" s="26">
        <v>-48</v>
      </c>
      <c r="N18" s="26">
        <f t="shared" si="1"/>
        <v>-17</v>
      </c>
    </row>
    <row r="19" spans="2:14" x14ac:dyDescent="0.25">
      <c r="B19" s="5" t="s">
        <v>49</v>
      </c>
      <c r="C19" s="30">
        <f t="shared" ref="C19:H19" si="9">SUM(C17:C18)</f>
        <v>47.813299080000093</v>
      </c>
      <c r="D19" s="30">
        <f t="shared" si="9"/>
        <v>419.9871043106686</v>
      </c>
      <c r="E19" s="30">
        <f t="shared" si="9"/>
        <v>322.57348792889775</v>
      </c>
      <c r="F19" s="30">
        <f t="shared" si="9"/>
        <v>299.08600000000001</v>
      </c>
      <c r="G19" s="30">
        <f t="shared" si="9"/>
        <v>-173</v>
      </c>
      <c r="H19" s="30">
        <f t="shared" si="9"/>
        <v>1725</v>
      </c>
      <c r="I19" s="30">
        <f>SUM(I17:I18)</f>
        <v>742</v>
      </c>
      <c r="J19" s="30">
        <f t="shared" si="0"/>
        <v>-983</v>
      </c>
      <c r="L19" s="30">
        <f>SUM(L17:L18)</f>
        <v>214</v>
      </c>
      <c r="M19" s="30">
        <f>SUM(M17:M18)</f>
        <v>272</v>
      </c>
      <c r="N19" s="30">
        <f t="shared" si="1"/>
        <v>58</v>
      </c>
    </row>
    <row r="20" spans="2:14" x14ac:dyDescent="0.25">
      <c r="B20" s="6"/>
      <c r="C20" s="49"/>
      <c r="D20" s="50">
        <f>10+17.4</f>
        <v>27.4</v>
      </c>
      <c r="E20" s="50">
        <f>15.8+5.1</f>
        <v>20.9</v>
      </c>
      <c r="F20" s="50">
        <f>14.4+9.9</f>
        <v>24.3</v>
      </c>
      <c r="G20" s="50">
        <f>20.6+16.5</f>
        <v>37.1</v>
      </c>
      <c r="H20" s="50">
        <f>22.4+10</f>
        <v>32.4</v>
      </c>
      <c r="I20" s="50">
        <f>21.6+4.3</f>
        <v>25.900000000000002</v>
      </c>
      <c r="J20" s="50"/>
      <c r="L20" s="49"/>
      <c r="M20" s="49"/>
      <c r="N20" s="49"/>
    </row>
    <row r="21" spans="2:14" x14ac:dyDescent="0.25">
      <c r="B21" s="9" t="s">
        <v>58</v>
      </c>
      <c r="C21" s="17" t="s">
        <v>1</v>
      </c>
      <c r="D21" s="17" t="s">
        <v>1</v>
      </c>
      <c r="E21" s="17" t="s">
        <v>1</v>
      </c>
      <c r="F21" s="17" t="s">
        <v>1</v>
      </c>
      <c r="G21" s="17" t="s">
        <v>1</v>
      </c>
      <c r="H21" s="17" t="s">
        <v>1</v>
      </c>
      <c r="I21" s="17" t="s">
        <v>1</v>
      </c>
      <c r="J21" s="17" t="s">
        <v>2</v>
      </c>
      <c r="K21" s="25"/>
      <c r="L21" s="18" t="str">
        <f t="shared" ref="L21:N22" si="10">L2</f>
        <v>9M</v>
      </c>
      <c r="M21" s="18" t="str">
        <f t="shared" si="10"/>
        <v>9M</v>
      </c>
      <c r="N21" s="18" t="str">
        <f t="shared" si="10"/>
        <v>Delta</v>
      </c>
    </row>
    <row r="22" spans="2:14" ht="15.75" thickBot="1" x14ac:dyDescent="0.3">
      <c r="B22" s="10" t="s">
        <v>70</v>
      </c>
      <c r="C22" s="19">
        <v>2014</v>
      </c>
      <c r="D22" s="19">
        <v>2015</v>
      </c>
      <c r="E22" s="19">
        <v>2016</v>
      </c>
      <c r="F22" s="19">
        <v>2017</v>
      </c>
      <c r="G22" s="19">
        <v>2018</v>
      </c>
      <c r="H22" s="19">
        <v>2019</v>
      </c>
      <c r="I22" s="20">
        <v>2020</v>
      </c>
      <c r="J22" s="46" t="s">
        <v>5</v>
      </c>
      <c r="K22" s="25"/>
      <c r="L22" s="20">
        <f t="shared" si="10"/>
        <v>2020</v>
      </c>
      <c r="M22" s="20">
        <f t="shared" si="10"/>
        <v>2021</v>
      </c>
      <c r="N22" s="21" t="str">
        <f t="shared" si="10"/>
        <v>20-21</v>
      </c>
    </row>
    <row r="23" spans="2:14" x14ac:dyDescent="0.25">
      <c r="B23" s="5" t="s">
        <v>71</v>
      </c>
      <c r="C23" s="51">
        <v>37.245713618483506</v>
      </c>
      <c r="D23" s="51">
        <v>39.558602184691004</v>
      </c>
      <c r="E23" s="51">
        <v>32.903756477842002</v>
      </c>
      <c r="F23" s="51">
        <v>35.228710832170989</v>
      </c>
      <c r="G23" s="51">
        <v>41.1</v>
      </c>
      <c r="H23" s="51">
        <v>36.132996654258996</v>
      </c>
      <c r="I23" s="51">
        <f t="shared" ref="I23" si="11">SUM(I24,I25)</f>
        <v>34.025807318312005</v>
      </c>
      <c r="J23" s="51">
        <f t="shared" ref="J23:J35" si="12">I23-H23</f>
        <v>-2.1071893359469911</v>
      </c>
      <c r="L23" s="51">
        <f t="shared" ref="L23:M23" si="13">SUM(L24,L25)</f>
        <v>25.593704731425756</v>
      </c>
      <c r="M23" s="51">
        <f t="shared" si="13"/>
        <v>26.866297194713709</v>
      </c>
      <c r="N23" s="51">
        <f t="shared" ref="N23:N32" si="14">M23-L23</f>
        <v>1.2725924632879533</v>
      </c>
    </row>
    <row r="24" spans="2:14" x14ac:dyDescent="0.25">
      <c r="B24" s="8" t="s">
        <v>72</v>
      </c>
      <c r="C24" s="42">
        <v>28.962274929221586</v>
      </c>
      <c r="D24" s="42">
        <v>27.349812704372003</v>
      </c>
      <c r="E24" s="42">
        <v>20.874515424179002</v>
      </c>
      <c r="F24" s="42">
        <v>24.291999056274001</v>
      </c>
      <c r="G24" s="42">
        <v>37.1</v>
      </c>
      <c r="H24" s="42">
        <v>32.377175923458999</v>
      </c>
      <c r="I24" s="42">
        <v>25.880518444320998</v>
      </c>
      <c r="J24" s="42">
        <f t="shared" si="12"/>
        <v>-6.4966574791380012</v>
      </c>
      <c r="L24" s="42">
        <v>19.836468293838138</v>
      </c>
      <c r="M24" s="42">
        <v>18.009885977365915</v>
      </c>
      <c r="N24" s="42">
        <f t="shared" si="14"/>
        <v>-1.8265823164722228</v>
      </c>
    </row>
    <row r="25" spans="2:14" x14ac:dyDescent="0.25">
      <c r="B25" s="8" t="s">
        <v>73</v>
      </c>
      <c r="C25" s="42">
        <v>8.2834386892619207</v>
      </c>
      <c r="D25" s="42">
        <v>12.208789480319004</v>
      </c>
      <c r="E25" s="42">
        <v>12.029241053663002</v>
      </c>
      <c r="F25" s="42">
        <v>10.936711775896992</v>
      </c>
      <c r="G25" s="42">
        <v>4</v>
      </c>
      <c r="H25" s="42">
        <v>3.7558207307999991</v>
      </c>
      <c r="I25" s="42">
        <f>SUM(I26:I27)</f>
        <v>8.1452888739910048</v>
      </c>
      <c r="J25" s="42">
        <f t="shared" si="12"/>
        <v>4.3894681431910056</v>
      </c>
      <c r="L25" s="42">
        <f>SUM(L26:L27)</f>
        <v>5.7572364375876175</v>
      </c>
      <c r="M25" s="42">
        <f>SUM(M26:M27)</f>
        <v>8.8564112173477927</v>
      </c>
      <c r="N25" s="42">
        <f t="shared" si="14"/>
        <v>3.0991747797601752</v>
      </c>
    </row>
    <row r="26" spans="2:14" x14ac:dyDescent="0.25">
      <c r="B26" s="11" t="s">
        <v>74</v>
      </c>
      <c r="C26" s="42" t="s">
        <v>75</v>
      </c>
      <c r="D26" s="42">
        <v>8.9063157106120006</v>
      </c>
      <c r="E26" s="42">
        <v>7.1950076682160011</v>
      </c>
      <c r="F26" s="42">
        <v>3.3364558057319993</v>
      </c>
      <c r="G26" s="42">
        <v>2.9</v>
      </c>
      <c r="H26" s="42">
        <v>3.5907539999558415</v>
      </c>
      <c r="I26" s="42">
        <v>6.3704093762012066</v>
      </c>
      <c r="J26" s="42">
        <f t="shared" si="12"/>
        <v>2.7796553762453651</v>
      </c>
      <c r="L26" s="42">
        <v>4.6201912049753595</v>
      </c>
      <c r="M26" s="42">
        <v>6.484369047480425</v>
      </c>
      <c r="N26" s="42">
        <f t="shared" si="14"/>
        <v>1.8641778425050655</v>
      </c>
    </row>
    <row r="27" spans="2:14" x14ac:dyDescent="0.25">
      <c r="B27" s="11" t="s">
        <v>76</v>
      </c>
      <c r="C27" s="42" t="s">
        <v>75</v>
      </c>
      <c r="D27" s="42">
        <v>3.3024737697070026</v>
      </c>
      <c r="E27" s="42">
        <v>4.8342333854470008</v>
      </c>
      <c r="F27" s="42">
        <v>7.6002559701649934</v>
      </c>
      <c r="G27" s="42">
        <v>1.1000000000000001</v>
      </c>
      <c r="H27" s="42">
        <v>0.16506673084415777</v>
      </c>
      <c r="I27" s="42">
        <v>1.7748794977897988</v>
      </c>
      <c r="J27" s="42">
        <f t="shared" si="12"/>
        <v>1.609812766945641</v>
      </c>
      <c r="L27" s="42">
        <v>1.1370452326122578</v>
      </c>
      <c r="M27" s="42">
        <v>2.3720421698673682</v>
      </c>
      <c r="N27" s="42">
        <f t="shared" si="14"/>
        <v>1.2349969372551104</v>
      </c>
    </row>
    <row r="28" spans="2:14" x14ac:dyDescent="0.25">
      <c r="B28" s="5" t="s">
        <v>77</v>
      </c>
      <c r="C28" s="52">
        <v>3.9133322742656317E-2</v>
      </c>
      <c r="D28" s="52">
        <v>4.9333873492460566E-2</v>
      </c>
      <c r="E28" s="52">
        <v>5.4737501573004659E-2</v>
      </c>
      <c r="F28" s="52">
        <v>3.9050053073616864E-2</v>
      </c>
      <c r="G28" s="52">
        <v>5.9027842361998019E-2</v>
      </c>
      <c r="H28" s="52">
        <v>6.0020658875154141E-2</v>
      </c>
      <c r="I28" s="52">
        <v>8.4533157533862424E-2</v>
      </c>
      <c r="J28" s="52">
        <f t="shared" si="12"/>
        <v>2.4512498658708283E-2</v>
      </c>
      <c r="L28" s="52">
        <v>7.8415386828956268E-2</v>
      </c>
      <c r="M28" s="52">
        <v>6.9363155590404013E-2</v>
      </c>
      <c r="N28" s="52">
        <f t="shared" si="14"/>
        <v>-9.0522312385522552E-3</v>
      </c>
    </row>
    <row r="29" spans="2:14" x14ac:dyDescent="0.25">
      <c r="B29" s="8" t="s">
        <v>78</v>
      </c>
      <c r="C29" s="40">
        <v>4.9000000000000002E-2</v>
      </c>
      <c r="D29" s="40">
        <v>5.2999999999999999E-2</v>
      </c>
      <c r="E29" s="40">
        <v>6.828999471259696E-2</v>
      </c>
      <c r="F29" s="40">
        <v>6.4115195796117422E-2</v>
      </c>
      <c r="G29" s="40">
        <v>6.0376249903696826E-2</v>
      </c>
      <c r="H29" s="40">
        <v>5.772503441450276E-2</v>
      </c>
      <c r="I29" s="40">
        <v>6.9048880775099172E-2</v>
      </c>
      <c r="J29" s="40">
        <f t="shared" si="12"/>
        <v>1.1323846360596412E-2</v>
      </c>
      <c r="L29" s="40">
        <v>6.6585610267956438E-2</v>
      </c>
      <c r="M29" s="40">
        <v>7.9466725171288388E-2</v>
      </c>
      <c r="N29" s="40">
        <f t="shared" si="14"/>
        <v>1.288111490333195E-2</v>
      </c>
    </row>
    <row r="30" spans="2:14" x14ac:dyDescent="0.25">
      <c r="B30" s="8" t="s">
        <v>79</v>
      </c>
      <c r="C30" s="40">
        <v>1.5956052107020148E-2</v>
      </c>
      <c r="D30" s="40">
        <v>3.4782791462702335E-2</v>
      </c>
      <c r="E30" s="40">
        <v>6.1844693546392118E-2</v>
      </c>
      <c r="F30" s="40">
        <v>3.4665760081680916E-2</v>
      </c>
      <c r="G30" s="40">
        <v>3.9523182832020894E-2</v>
      </c>
      <c r="H30" s="40">
        <v>6.5470543587143937E-2</v>
      </c>
      <c r="I30" s="40">
        <v>0.12871665987550968</v>
      </c>
      <c r="J30" s="40">
        <f t="shared" si="12"/>
        <v>6.3246116288365739E-2</v>
      </c>
      <c r="L30" s="40">
        <v>0.11583775270543827</v>
      </c>
      <c r="M30" s="40">
        <v>5.1022509914023469E-2</v>
      </c>
      <c r="N30" s="40">
        <f t="shared" si="14"/>
        <v>-6.481524279141479E-2</v>
      </c>
    </row>
    <row r="31" spans="2:14" x14ac:dyDescent="0.25">
      <c r="B31" s="11" t="s">
        <v>74</v>
      </c>
      <c r="C31" s="40" t="s">
        <v>75</v>
      </c>
      <c r="D31" s="40">
        <v>-2.6981660315782374E-2</v>
      </c>
      <c r="E31" s="40">
        <v>-7.0000000000000001E-3</v>
      </c>
      <c r="F31" s="40">
        <v>1.5093774718429062E-2</v>
      </c>
      <c r="G31" s="40">
        <v>3.1112406761257396E-2</v>
      </c>
      <c r="H31" s="40">
        <v>5.5955058949575705E-2</v>
      </c>
      <c r="I31" s="40">
        <v>9.6848909910970699E-2</v>
      </c>
      <c r="J31" s="40">
        <f t="shared" si="12"/>
        <v>4.0893850961394994E-2</v>
      </c>
      <c r="L31" s="40">
        <v>8.8068261606587733E-2</v>
      </c>
      <c r="M31" s="40">
        <v>1.1411966725335445E-2</v>
      </c>
      <c r="N31" s="40">
        <f t="shared" si="14"/>
        <v>-7.6656294881252293E-2</v>
      </c>
    </row>
    <row r="32" spans="2:14" x14ac:dyDescent="0.25">
      <c r="B32" s="11" t="s">
        <v>76</v>
      </c>
      <c r="C32" s="40" t="s">
        <v>75</v>
      </c>
      <c r="D32" s="40">
        <v>0.17530217323365427</v>
      </c>
      <c r="E32" s="40">
        <v>0.15355213882183802</v>
      </c>
      <c r="F32" s="40">
        <v>4.0959191354374008E-2</v>
      </c>
      <c r="G32" s="40">
        <v>6.5729377574179806E-2</v>
      </c>
      <c r="H32" s="40" t="s">
        <v>75</v>
      </c>
      <c r="I32" s="40">
        <v>0.22364562460322399</v>
      </c>
      <c r="J32" s="40" t="s">
        <v>75</v>
      </c>
      <c r="L32" s="40">
        <v>0.21826799424838786</v>
      </c>
      <c r="M32" s="40">
        <v>0.13856262483822235</v>
      </c>
      <c r="N32" s="40">
        <f t="shared" si="14"/>
        <v>-7.9705369410165511E-2</v>
      </c>
    </row>
    <row r="33" spans="2:14" x14ac:dyDescent="0.25">
      <c r="B33" s="12" t="s">
        <v>36</v>
      </c>
      <c r="C33" s="53"/>
      <c r="D33" s="53"/>
      <c r="E33" s="53"/>
      <c r="F33" s="53"/>
      <c r="G33" s="53"/>
      <c r="H33" s="53"/>
      <c r="I33" s="53"/>
      <c r="J33" s="53"/>
      <c r="L33" s="53"/>
      <c r="M33" s="53"/>
      <c r="N33" s="53"/>
    </row>
    <row r="34" spans="2:14" x14ac:dyDescent="0.25">
      <c r="B34" s="13" t="s">
        <v>80</v>
      </c>
      <c r="C34" s="42">
        <v>8.8264359999999993</v>
      </c>
      <c r="D34" s="42">
        <v>8.9264510000000001</v>
      </c>
      <c r="E34" s="42">
        <v>8.9866869999999999</v>
      </c>
      <c r="F34" s="42">
        <v>9.1999999999999993</v>
      </c>
      <c r="G34" s="42">
        <v>9.554451000000002</v>
      </c>
      <c r="H34" s="42">
        <v>9.9399669999999993</v>
      </c>
      <c r="I34" s="42">
        <v>10.1</v>
      </c>
      <c r="J34" s="42">
        <f t="shared" si="12"/>
        <v>0.16003300000000031</v>
      </c>
      <c r="L34" s="42">
        <v>10.024826000000001</v>
      </c>
      <c r="M34" s="42">
        <v>10.261785</v>
      </c>
      <c r="N34" s="42">
        <f t="shared" ref="N34:N35" si="15">M34-L34</f>
        <v>0.23695899999999881</v>
      </c>
    </row>
    <row r="35" spans="2:14" x14ac:dyDescent="0.25">
      <c r="B35" s="6" t="s">
        <v>81</v>
      </c>
      <c r="C35" s="40">
        <v>8.9999999999999993E-3</v>
      </c>
      <c r="D35" s="40">
        <v>0.03</v>
      </c>
      <c r="E35" s="40">
        <v>2.9000000000000001E-2</v>
      </c>
      <c r="F35" s="40">
        <v>1.2E-2</v>
      </c>
      <c r="G35" s="40">
        <v>6.0205476142579789E-3</v>
      </c>
      <c r="H35" s="40">
        <v>3.6101046262642012E-4</v>
      </c>
      <c r="I35" s="40">
        <v>6.7619679399469291E-5</v>
      </c>
      <c r="J35" s="40">
        <f t="shared" si="12"/>
        <v>-2.9339078322695083E-4</v>
      </c>
      <c r="L35" s="40">
        <v>4.8647724963676659E-5</v>
      </c>
      <c r="M35" s="40">
        <v>1.1193474141819619E-3</v>
      </c>
      <c r="N35" s="40">
        <f t="shared" si="15"/>
        <v>1.0706996892182851E-3</v>
      </c>
    </row>
  </sheetData>
  <pageMargins left="0.7" right="0.7" top="0.75" bottom="0.75" header="0.3" footer="0.3"/>
  <pageSetup paperSize="9" scale="44" orientation="portrait" r:id="rId1"/>
  <headerFooter>
    <oddFooter>&amp;R&amp;"verdana,Regular"Genele Açık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U64"/>
  <sheetViews>
    <sheetView showGridLines="0" zoomScaleNormal="100" workbookViewId="0">
      <pane xSplit="2" ySplit="3" topLeftCell="C38" activePane="bottomRight" state="frozen"/>
      <selection activeCell="Q60" sqref="Q60"/>
      <selection pane="topRight" activeCell="Q60" sqref="Q60"/>
      <selection pane="bottomLeft" activeCell="Q60" sqref="Q60"/>
      <selection pane="bottomRight" activeCell="A63" sqref="A63"/>
    </sheetView>
  </sheetViews>
  <sheetFormatPr defaultColWidth="8.85546875" defaultRowHeight="15" x14ac:dyDescent="0.25"/>
  <cols>
    <col min="1" max="1" width="8.42578125" customWidth="1"/>
    <col min="2" max="2" width="54.140625" customWidth="1"/>
    <col min="3" max="10" width="10.5703125" style="45" customWidth="1"/>
    <col min="11" max="11" width="8.140625" style="24" customWidth="1"/>
    <col min="12" max="14" width="10.5703125" style="45" customWidth="1"/>
  </cols>
  <sheetData>
    <row r="1" spans="2:14" x14ac:dyDescent="0.25">
      <c r="C1" s="22"/>
      <c r="D1" s="22"/>
      <c r="E1" s="22"/>
      <c r="F1" s="23"/>
      <c r="G1" s="23"/>
      <c r="H1" s="23"/>
      <c r="I1" s="23"/>
      <c r="J1" s="23"/>
      <c r="L1" s="23"/>
      <c r="M1" s="23"/>
      <c r="N1" s="23"/>
    </row>
    <row r="2" spans="2:14" x14ac:dyDescent="0.25">
      <c r="B2" s="9" t="s">
        <v>82</v>
      </c>
      <c r="C2" s="17" t="s">
        <v>1</v>
      </c>
      <c r="D2" s="17" t="s">
        <v>1</v>
      </c>
      <c r="E2" s="17" t="s">
        <v>1</v>
      </c>
      <c r="F2" s="17" t="s">
        <v>1</v>
      </c>
      <c r="G2" s="17" t="s">
        <v>1</v>
      </c>
      <c r="H2" s="17" t="s">
        <v>1</v>
      </c>
      <c r="I2" s="18" t="s">
        <v>1</v>
      </c>
      <c r="J2" s="17" t="s">
        <v>2</v>
      </c>
      <c r="K2" s="25"/>
      <c r="L2" s="18" t="str">
        <f>FactSheet_Cons!L2</f>
        <v>9M</v>
      </c>
      <c r="M2" s="18" t="str">
        <f>FactSheet_Cons!M2</f>
        <v>9M</v>
      </c>
      <c r="N2" s="18" t="str">
        <f>FactSheet_Cons!N2</f>
        <v>Delta</v>
      </c>
    </row>
    <row r="3" spans="2:14" ht="15.75" thickBot="1" x14ac:dyDescent="0.3">
      <c r="B3" s="10" t="s">
        <v>4</v>
      </c>
      <c r="C3" s="19">
        <v>2014</v>
      </c>
      <c r="D3" s="19">
        <v>2015</v>
      </c>
      <c r="E3" s="19">
        <v>2016</v>
      </c>
      <c r="F3" s="19">
        <v>2017</v>
      </c>
      <c r="G3" s="19">
        <v>2018</v>
      </c>
      <c r="H3" s="19">
        <v>2019</v>
      </c>
      <c r="I3" s="20">
        <v>2020</v>
      </c>
      <c r="J3" s="21" t="s">
        <v>5</v>
      </c>
      <c r="K3" s="25"/>
      <c r="L3" s="20">
        <f>FactSheet_Cons!L3</f>
        <v>2020</v>
      </c>
      <c r="M3" s="20">
        <f>FactSheet_Cons!M3</f>
        <v>2021</v>
      </c>
      <c r="N3" s="21" t="str">
        <f>FactSheet_Cons!N3</f>
        <v>20-21</v>
      </c>
    </row>
    <row r="4" spans="2:14" x14ac:dyDescent="0.25">
      <c r="B4" s="14" t="s">
        <v>83</v>
      </c>
      <c r="C4" s="26">
        <v>205.39000000000001</v>
      </c>
      <c r="D4" s="26">
        <v>304.83100000000002</v>
      </c>
      <c r="E4" s="26">
        <v>609.62800000000004</v>
      </c>
      <c r="F4" s="26">
        <v>1014</v>
      </c>
      <c r="G4" s="26">
        <v>1717</v>
      </c>
      <c r="H4" s="26">
        <v>1959</v>
      </c>
      <c r="I4" s="26">
        <v>2070</v>
      </c>
      <c r="J4" s="26">
        <f>I4-H4</f>
        <v>111</v>
      </c>
      <c r="K4" s="27"/>
      <c r="L4" s="26">
        <v>1687</v>
      </c>
      <c r="M4" s="26">
        <v>1837</v>
      </c>
      <c r="N4" s="26">
        <f>M4-L4</f>
        <v>150</v>
      </c>
    </row>
    <row r="5" spans="2:14" x14ac:dyDescent="0.25">
      <c r="B5" s="6" t="s">
        <v>21</v>
      </c>
      <c r="C5" s="26">
        <v>210.18100000000001</v>
      </c>
      <c r="D5" s="26">
        <v>200.333</v>
      </c>
      <c r="E5" s="26">
        <v>443.23500000000001</v>
      </c>
      <c r="F5" s="26">
        <v>592</v>
      </c>
      <c r="G5" s="26">
        <v>798</v>
      </c>
      <c r="H5" s="26">
        <v>1058</v>
      </c>
      <c r="I5" s="26">
        <v>1342</v>
      </c>
      <c r="J5" s="26">
        <f t="shared" ref="J5:J24" si="0">I5-H5</f>
        <v>284</v>
      </c>
      <c r="L5" s="26">
        <v>1006</v>
      </c>
      <c r="M5" s="26">
        <v>1576</v>
      </c>
      <c r="N5" s="26">
        <f t="shared" ref="N5:N24" si="1">M5-L5</f>
        <v>570</v>
      </c>
    </row>
    <row r="6" spans="2:14" x14ac:dyDescent="0.25">
      <c r="B6" s="14" t="s">
        <v>84</v>
      </c>
      <c r="C6" s="26">
        <v>66.836883419186591</v>
      </c>
      <c r="D6" s="26">
        <v>136.90278828440944</v>
      </c>
      <c r="E6" s="26">
        <v>448.97269115704557</v>
      </c>
      <c r="F6" s="26">
        <v>605</v>
      </c>
      <c r="G6" s="26">
        <v>816</v>
      </c>
      <c r="H6" s="26">
        <v>902</v>
      </c>
      <c r="I6" s="26">
        <f t="shared" ref="I6" si="2">SUM(I7:I11)</f>
        <v>941</v>
      </c>
      <c r="J6" s="26">
        <f t="shared" si="0"/>
        <v>39</v>
      </c>
      <c r="L6" s="26">
        <f t="shared" ref="L6:M6" si="3">SUM(L7:L11)</f>
        <v>618</v>
      </c>
      <c r="M6" s="26">
        <f t="shared" si="3"/>
        <v>719</v>
      </c>
      <c r="N6" s="26">
        <f t="shared" si="1"/>
        <v>101</v>
      </c>
    </row>
    <row r="7" spans="2:14" x14ac:dyDescent="0.25">
      <c r="B7" s="15" t="s">
        <v>85</v>
      </c>
      <c r="C7" s="26">
        <v>41.669966764836175</v>
      </c>
      <c r="D7" s="26">
        <v>23.435786273687899</v>
      </c>
      <c r="E7" s="26">
        <v>165</v>
      </c>
      <c r="F7" s="26">
        <v>142</v>
      </c>
      <c r="G7" s="26">
        <v>105</v>
      </c>
      <c r="H7" s="26">
        <v>69</v>
      </c>
      <c r="I7" s="26">
        <v>121</v>
      </c>
      <c r="J7" s="26">
        <f t="shared" si="0"/>
        <v>52</v>
      </c>
      <c r="K7" s="28"/>
      <c r="L7" s="26">
        <v>84</v>
      </c>
      <c r="M7" s="26">
        <v>139</v>
      </c>
      <c r="N7" s="26">
        <f t="shared" si="1"/>
        <v>55</v>
      </c>
    </row>
    <row r="8" spans="2:14" x14ac:dyDescent="0.25">
      <c r="B8" s="15" t="s">
        <v>86</v>
      </c>
      <c r="C8" s="26">
        <v>78.227916654350452</v>
      </c>
      <c r="D8" s="26">
        <v>70.018002010721489</v>
      </c>
      <c r="E8" s="26">
        <v>146.45319474679684</v>
      </c>
      <c r="F8" s="26">
        <v>51</v>
      </c>
      <c r="G8" s="26">
        <v>85</v>
      </c>
      <c r="H8" s="26">
        <v>92</v>
      </c>
      <c r="I8" s="26">
        <v>82</v>
      </c>
      <c r="J8" s="26">
        <f t="shared" si="0"/>
        <v>-10</v>
      </c>
      <c r="L8" s="26">
        <v>127</v>
      </c>
      <c r="M8" s="26">
        <v>122</v>
      </c>
      <c r="N8" s="26">
        <f t="shared" si="1"/>
        <v>-5</v>
      </c>
    </row>
    <row r="9" spans="2:14" x14ac:dyDescent="0.25">
      <c r="B9" s="15" t="s">
        <v>87</v>
      </c>
      <c r="C9" s="26">
        <v>-60.061000000000035</v>
      </c>
      <c r="D9" s="26">
        <v>26.449000000000069</v>
      </c>
      <c r="E9" s="26">
        <v>83.756321633929019</v>
      </c>
      <c r="F9" s="26">
        <v>135</v>
      </c>
      <c r="G9" s="26">
        <v>97</v>
      </c>
      <c r="H9" s="26">
        <v>115</v>
      </c>
      <c r="I9" s="26">
        <v>97</v>
      </c>
      <c r="J9" s="26">
        <f t="shared" si="0"/>
        <v>-18</v>
      </c>
      <c r="L9" s="26">
        <v>82</v>
      </c>
      <c r="M9" s="26">
        <v>102</v>
      </c>
      <c r="N9" s="26">
        <f t="shared" si="1"/>
        <v>20</v>
      </c>
    </row>
    <row r="10" spans="2:14" x14ac:dyDescent="0.25">
      <c r="B10" s="15" t="s">
        <v>88</v>
      </c>
      <c r="C10" s="26">
        <v>7</v>
      </c>
      <c r="D10" s="26">
        <v>17</v>
      </c>
      <c r="E10" s="26">
        <v>53.763174776319715</v>
      </c>
      <c r="F10" s="26">
        <v>277</v>
      </c>
      <c r="G10" s="26">
        <v>413</v>
      </c>
      <c r="H10" s="26">
        <v>466</v>
      </c>
      <c r="I10" s="26">
        <v>446</v>
      </c>
      <c r="J10" s="26">
        <f t="shared" si="0"/>
        <v>-20</v>
      </c>
      <c r="L10" s="26">
        <v>325</v>
      </c>
      <c r="M10" s="26">
        <v>299</v>
      </c>
      <c r="N10" s="26">
        <f t="shared" si="1"/>
        <v>-26</v>
      </c>
    </row>
    <row r="11" spans="2:14" x14ac:dyDescent="0.25">
      <c r="B11" s="15" t="s">
        <v>89</v>
      </c>
      <c r="C11" s="29" t="s">
        <v>15</v>
      </c>
      <c r="D11" s="29" t="s">
        <v>15</v>
      </c>
      <c r="E11" s="29" t="s">
        <v>15</v>
      </c>
      <c r="F11" s="29" t="s">
        <v>15</v>
      </c>
      <c r="G11" s="26">
        <v>116</v>
      </c>
      <c r="H11" s="26">
        <v>160</v>
      </c>
      <c r="I11" s="26">
        <v>195</v>
      </c>
      <c r="J11" s="29">
        <f t="shared" si="0"/>
        <v>35</v>
      </c>
      <c r="L11" s="26">
        <v>0</v>
      </c>
      <c r="M11" s="26">
        <v>57</v>
      </c>
      <c r="N11" s="29">
        <f>M11</f>
        <v>57</v>
      </c>
    </row>
    <row r="12" spans="2:14" x14ac:dyDescent="0.25">
      <c r="B12" s="16" t="s">
        <v>90</v>
      </c>
      <c r="C12" s="26">
        <v>32.309772053554298</v>
      </c>
      <c r="D12" s="26">
        <v>38.876549469487827</v>
      </c>
      <c r="E12" s="26">
        <v>44</v>
      </c>
      <c r="F12" s="26">
        <v>86</v>
      </c>
      <c r="G12" s="26">
        <v>133</v>
      </c>
      <c r="H12" s="26">
        <v>174</v>
      </c>
      <c r="I12" s="26">
        <v>217</v>
      </c>
      <c r="J12" s="26">
        <f t="shared" si="0"/>
        <v>43</v>
      </c>
      <c r="L12" s="26">
        <v>163</v>
      </c>
      <c r="M12" s="26">
        <v>212</v>
      </c>
      <c r="N12" s="26">
        <f t="shared" si="1"/>
        <v>49</v>
      </c>
    </row>
    <row r="13" spans="2:14" x14ac:dyDescent="0.25">
      <c r="B13" s="14" t="s">
        <v>36</v>
      </c>
      <c r="C13" s="26">
        <v>120.604</v>
      </c>
      <c r="D13" s="26">
        <v>126.396</v>
      </c>
      <c r="E13" s="26">
        <v>103.99730884295445</v>
      </c>
      <c r="F13" s="26">
        <v>47</v>
      </c>
      <c r="G13" s="26">
        <v>26</v>
      </c>
      <c r="H13" s="26">
        <v>-20</v>
      </c>
      <c r="I13" s="26">
        <v>193</v>
      </c>
      <c r="J13" s="26">
        <f t="shared" si="0"/>
        <v>213</v>
      </c>
      <c r="L13" s="26">
        <v>86</v>
      </c>
      <c r="M13" s="26">
        <v>65</v>
      </c>
      <c r="N13" s="26">
        <f t="shared" si="1"/>
        <v>-21</v>
      </c>
    </row>
    <row r="14" spans="2:14" x14ac:dyDescent="0.25">
      <c r="B14" s="5" t="s">
        <v>27</v>
      </c>
      <c r="C14" s="30">
        <v>635.32165547274099</v>
      </c>
      <c r="D14" s="30">
        <v>807.33933775389721</v>
      </c>
      <c r="E14" s="30">
        <v>1649.8330000000001</v>
      </c>
      <c r="F14" s="30">
        <v>2344</v>
      </c>
      <c r="G14" s="30">
        <v>3490</v>
      </c>
      <c r="H14" s="30">
        <v>4073</v>
      </c>
      <c r="I14" s="30">
        <f>SUM(I4:I6,I12:I13)</f>
        <v>4763</v>
      </c>
      <c r="J14" s="30">
        <f t="shared" si="0"/>
        <v>690</v>
      </c>
      <c r="K14" s="31"/>
      <c r="L14" s="30">
        <f>SUM(L4:L6,L12:L13)</f>
        <v>3560</v>
      </c>
      <c r="M14" s="30">
        <f>SUM(M4:M6,M12:M13)</f>
        <v>4409</v>
      </c>
      <c r="N14" s="30">
        <f t="shared" si="1"/>
        <v>849</v>
      </c>
    </row>
    <row r="15" spans="2:14" x14ac:dyDescent="0.25">
      <c r="B15" s="4" t="s">
        <v>91</v>
      </c>
      <c r="C15" s="32">
        <v>-71</v>
      </c>
      <c r="D15" s="32">
        <v>-125</v>
      </c>
      <c r="E15" s="32">
        <v>-265</v>
      </c>
      <c r="F15" s="26">
        <v>-577</v>
      </c>
      <c r="G15" s="26">
        <v>-1082</v>
      </c>
      <c r="H15" s="26">
        <v>-1178</v>
      </c>
      <c r="I15" s="26">
        <v>-1157</v>
      </c>
      <c r="J15" s="26">
        <f t="shared" si="0"/>
        <v>21</v>
      </c>
      <c r="L15" s="26">
        <v>-1003</v>
      </c>
      <c r="M15" s="26">
        <v>-412</v>
      </c>
      <c r="N15" s="26">
        <f t="shared" si="1"/>
        <v>591</v>
      </c>
    </row>
    <row r="16" spans="2:14" x14ac:dyDescent="0.25">
      <c r="B16" s="4" t="s">
        <v>85</v>
      </c>
      <c r="C16" s="32">
        <v>-41.669966764836175</v>
      </c>
      <c r="D16" s="32">
        <v>-23.435786273687899</v>
      </c>
      <c r="E16" s="32">
        <v>-165</v>
      </c>
      <c r="F16" s="32">
        <v>-142</v>
      </c>
      <c r="G16" s="32">
        <v>-105</v>
      </c>
      <c r="H16" s="32">
        <v>-69</v>
      </c>
      <c r="I16" s="26">
        <v>-121</v>
      </c>
      <c r="J16" s="26">
        <f t="shared" si="0"/>
        <v>-52</v>
      </c>
      <c r="L16" s="26">
        <v>-84</v>
      </c>
      <c r="M16" s="26">
        <v>-139</v>
      </c>
      <c r="N16" s="26">
        <f t="shared" si="1"/>
        <v>-55</v>
      </c>
    </row>
    <row r="17" spans="2:14" x14ac:dyDescent="0.25">
      <c r="B17" s="4" t="s">
        <v>92</v>
      </c>
      <c r="C17" s="32">
        <v>-475.6280332351638</v>
      </c>
      <c r="D17" s="32">
        <v>-34.714305234190533</v>
      </c>
      <c r="E17" s="32">
        <v>412.99962729786353</v>
      </c>
      <c r="F17" s="26">
        <v>20.574684588912532</v>
      </c>
      <c r="G17" s="26">
        <v>71</v>
      </c>
      <c r="H17" s="26">
        <v>-449</v>
      </c>
      <c r="I17" s="26">
        <v>78</v>
      </c>
      <c r="J17" s="32">
        <f t="shared" si="0"/>
        <v>527</v>
      </c>
      <c r="L17" s="26">
        <v>-137</v>
      </c>
      <c r="M17" s="26">
        <v>702</v>
      </c>
      <c r="N17" s="26">
        <f t="shared" si="1"/>
        <v>839</v>
      </c>
    </row>
    <row r="18" spans="2:14" x14ac:dyDescent="0.25">
      <c r="B18" s="5" t="s">
        <v>47</v>
      </c>
      <c r="C18" s="30">
        <v>47.023655472740984</v>
      </c>
      <c r="D18" s="30">
        <v>624.1892462460188</v>
      </c>
      <c r="E18" s="30">
        <v>1632.8326272978638</v>
      </c>
      <c r="F18" s="30">
        <v>1645.5746845889125</v>
      </c>
      <c r="G18" s="30">
        <v>2374</v>
      </c>
      <c r="H18" s="30">
        <v>2377</v>
      </c>
      <c r="I18" s="30">
        <f>SUM(I14:I17)</f>
        <v>3563</v>
      </c>
      <c r="J18" s="30">
        <f t="shared" si="0"/>
        <v>1186</v>
      </c>
      <c r="K18" s="33"/>
      <c r="L18" s="30">
        <f>SUM(L14:L17)</f>
        <v>2336</v>
      </c>
      <c r="M18" s="30">
        <f>SUM(M14:M17)</f>
        <v>4560</v>
      </c>
      <c r="N18" s="30">
        <f t="shared" si="1"/>
        <v>2224</v>
      </c>
    </row>
    <row r="19" spans="2:14" x14ac:dyDescent="0.25">
      <c r="B19" s="4" t="s">
        <v>93</v>
      </c>
      <c r="C19" s="32">
        <v>-619</v>
      </c>
      <c r="D19" s="32">
        <v>-1269</v>
      </c>
      <c r="E19" s="32">
        <v>-1599</v>
      </c>
      <c r="F19" s="32">
        <v>-1573</v>
      </c>
      <c r="G19" s="26">
        <v>-1605</v>
      </c>
      <c r="H19" s="26">
        <v>-1418</v>
      </c>
      <c r="I19" s="26">
        <v>-1790</v>
      </c>
      <c r="J19" s="32">
        <f t="shared" si="0"/>
        <v>-372</v>
      </c>
      <c r="K19" s="34"/>
      <c r="L19" s="26">
        <v>-1296</v>
      </c>
      <c r="M19" s="26">
        <v>-2078</v>
      </c>
      <c r="N19" s="32">
        <f t="shared" si="1"/>
        <v>-782</v>
      </c>
    </row>
    <row r="20" spans="2:14" x14ac:dyDescent="0.25">
      <c r="B20" s="4" t="s">
        <v>85</v>
      </c>
      <c r="C20" s="32">
        <v>41.669966764836175</v>
      </c>
      <c r="D20" s="32">
        <v>23.435786273687899</v>
      </c>
      <c r="E20" s="32">
        <v>165</v>
      </c>
      <c r="F20" s="32">
        <v>142</v>
      </c>
      <c r="G20" s="32">
        <v>105</v>
      </c>
      <c r="H20" s="32">
        <v>69</v>
      </c>
      <c r="I20" s="26">
        <v>121</v>
      </c>
      <c r="J20" s="32">
        <f t="shared" si="0"/>
        <v>52</v>
      </c>
      <c r="L20" s="26">
        <v>84</v>
      </c>
      <c r="M20" s="26">
        <v>139</v>
      </c>
      <c r="N20" s="32">
        <f t="shared" si="1"/>
        <v>55</v>
      </c>
    </row>
    <row r="21" spans="2:14" x14ac:dyDescent="0.25">
      <c r="B21" s="4" t="s">
        <v>94</v>
      </c>
      <c r="C21" s="32">
        <v>-103.91940598232948</v>
      </c>
      <c r="D21" s="32">
        <v>-186.83463205894682</v>
      </c>
      <c r="E21" s="32">
        <v>-186.42000000000002</v>
      </c>
      <c r="F21" s="32">
        <v>-307.66720910269106</v>
      </c>
      <c r="G21" s="26">
        <v>-308</v>
      </c>
      <c r="H21" s="26">
        <v>-255</v>
      </c>
      <c r="I21" s="26">
        <v>-346</v>
      </c>
      <c r="J21" s="32">
        <f t="shared" si="0"/>
        <v>-91</v>
      </c>
      <c r="L21" s="26">
        <v>-233</v>
      </c>
      <c r="M21" s="26">
        <v>-349</v>
      </c>
      <c r="N21" s="32">
        <f t="shared" si="1"/>
        <v>-116</v>
      </c>
    </row>
    <row r="22" spans="2:14" x14ac:dyDescent="0.25">
      <c r="B22" s="4" t="s">
        <v>95</v>
      </c>
      <c r="C22" s="32">
        <v>202.24943921749332</v>
      </c>
      <c r="D22" s="32">
        <v>384.39884578525891</v>
      </c>
      <c r="E22" s="32">
        <v>108.42000000000002</v>
      </c>
      <c r="F22" s="32">
        <v>34.151704117641486</v>
      </c>
      <c r="G22" s="26">
        <v>259</v>
      </c>
      <c r="H22" s="26">
        <v>49</v>
      </c>
      <c r="I22" s="26">
        <v>-96</v>
      </c>
      <c r="J22" s="32">
        <f t="shared" si="0"/>
        <v>-145</v>
      </c>
      <c r="L22" s="26">
        <v>-207</v>
      </c>
      <c r="M22" s="26">
        <v>63</v>
      </c>
      <c r="N22" s="32">
        <f t="shared" si="1"/>
        <v>270</v>
      </c>
    </row>
    <row r="23" spans="2:14" x14ac:dyDescent="0.25">
      <c r="B23" s="5" t="s">
        <v>96</v>
      </c>
      <c r="C23" s="30">
        <v>-479</v>
      </c>
      <c r="D23" s="30">
        <v>-1048</v>
      </c>
      <c r="E23" s="30">
        <v>-1512</v>
      </c>
      <c r="F23" s="30">
        <v>-1704.5155049850496</v>
      </c>
      <c r="G23" s="30">
        <v>-1549</v>
      </c>
      <c r="H23" s="30">
        <v>-1555</v>
      </c>
      <c r="I23" s="30">
        <f t="shared" ref="I23" si="4">SUM(I19:I22)</f>
        <v>-2111</v>
      </c>
      <c r="J23" s="30">
        <f t="shared" si="0"/>
        <v>-556</v>
      </c>
      <c r="K23" s="33"/>
      <c r="L23" s="30">
        <f t="shared" ref="L23:M23" si="5">SUM(L19:L22)</f>
        <v>-1652</v>
      </c>
      <c r="M23" s="30">
        <f t="shared" si="5"/>
        <v>-2225</v>
      </c>
      <c r="N23" s="30">
        <f t="shared" si="1"/>
        <v>-573</v>
      </c>
    </row>
    <row r="24" spans="2:14" x14ac:dyDescent="0.25">
      <c r="B24" s="5" t="s">
        <v>49</v>
      </c>
      <c r="C24" s="30">
        <v>-431.97634452725902</v>
      </c>
      <c r="D24" s="30">
        <v>-423.3107537539812</v>
      </c>
      <c r="E24" s="30">
        <v>120.83262729786384</v>
      </c>
      <c r="F24" s="30">
        <v>-58.940820396137042</v>
      </c>
      <c r="G24" s="30">
        <v>825</v>
      </c>
      <c r="H24" s="30">
        <v>822</v>
      </c>
      <c r="I24" s="30">
        <f>I23+I18</f>
        <v>1452</v>
      </c>
      <c r="J24" s="30">
        <f t="shared" si="0"/>
        <v>630</v>
      </c>
      <c r="K24" s="33"/>
      <c r="L24" s="30">
        <f>L23+L18</f>
        <v>684</v>
      </c>
      <c r="M24" s="30">
        <f>M23+M18</f>
        <v>2335</v>
      </c>
      <c r="N24" s="30">
        <f t="shared" si="1"/>
        <v>1651</v>
      </c>
    </row>
    <row r="25" spans="2:14" x14ac:dyDescent="0.25">
      <c r="B25" s="2"/>
      <c r="C25" s="35"/>
      <c r="D25" s="35"/>
      <c r="E25" s="35"/>
      <c r="F25" s="35"/>
      <c r="G25" s="35"/>
      <c r="H25" s="35"/>
      <c r="I25" s="35"/>
      <c r="J25" s="35"/>
      <c r="L25" s="35"/>
      <c r="M25" s="35"/>
      <c r="N25" s="35"/>
    </row>
    <row r="26" spans="2:14" x14ac:dyDescent="0.25">
      <c r="B26" s="9" t="s">
        <v>82</v>
      </c>
      <c r="C26" s="17" t="s">
        <v>1</v>
      </c>
      <c r="D26" s="17" t="s">
        <v>1</v>
      </c>
      <c r="E26" s="17" t="s">
        <v>1</v>
      </c>
      <c r="F26" s="17" t="s">
        <v>1</v>
      </c>
      <c r="G26" s="17" t="s">
        <v>1</v>
      </c>
      <c r="H26" s="17" t="s">
        <v>1</v>
      </c>
      <c r="I26" s="18" t="s">
        <v>1</v>
      </c>
      <c r="J26" s="17" t="s">
        <v>2</v>
      </c>
      <c r="K26" s="25"/>
      <c r="L26" s="18" t="str">
        <f>L2</f>
        <v>9M</v>
      </c>
      <c r="M26" s="18" t="str">
        <f>M2</f>
        <v>9M</v>
      </c>
      <c r="N26" s="18" t="s">
        <v>2</v>
      </c>
    </row>
    <row r="27" spans="2:14" ht="15.75" thickBot="1" x14ac:dyDescent="0.3">
      <c r="B27" s="10" t="s">
        <v>70</v>
      </c>
      <c r="C27" s="19">
        <v>2014</v>
      </c>
      <c r="D27" s="19">
        <v>2015</v>
      </c>
      <c r="E27" s="19">
        <v>2016</v>
      </c>
      <c r="F27" s="19">
        <v>2017</v>
      </c>
      <c r="G27" s="19">
        <v>2018</v>
      </c>
      <c r="H27" s="19">
        <v>2019</v>
      </c>
      <c r="I27" s="20">
        <v>2020</v>
      </c>
      <c r="J27" s="21" t="s">
        <v>5</v>
      </c>
      <c r="K27" s="25"/>
      <c r="L27" s="20">
        <f>L3</f>
        <v>2020</v>
      </c>
      <c r="M27" s="20">
        <f>M3</f>
        <v>2021</v>
      </c>
      <c r="N27" s="21" t="str">
        <f>N3</f>
        <v>20-21</v>
      </c>
    </row>
    <row r="28" spans="2:14" x14ac:dyDescent="0.25">
      <c r="B28" s="14" t="s">
        <v>97</v>
      </c>
      <c r="C28" s="26">
        <v>966.44059948407414</v>
      </c>
      <c r="D28" s="26">
        <f t="shared" ref="D28:I28" si="6">C33</f>
        <v>1435.1508636508995</v>
      </c>
      <c r="E28" s="26">
        <f t="shared" si="6"/>
        <v>2661.559619819981</v>
      </c>
      <c r="F28" s="26">
        <f t="shared" si="6"/>
        <v>3914.3147345384236</v>
      </c>
      <c r="G28" s="26">
        <f t="shared" si="6"/>
        <v>5322.0147345384239</v>
      </c>
      <c r="H28" s="26">
        <f t="shared" si="6"/>
        <v>6948.0147345384239</v>
      </c>
      <c r="I28" s="26">
        <f t="shared" si="6"/>
        <v>8400.2602391005548</v>
      </c>
      <c r="J28" s="26">
        <f t="shared" ref="J28:J60" si="7">I28-H28</f>
        <v>1452.2455045621309</v>
      </c>
      <c r="L28" s="26">
        <v>8400.26</v>
      </c>
      <c r="M28" s="26">
        <v>9354</v>
      </c>
      <c r="N28" s="26">
        <f t="shared" ref="N28:N30" si="8">M28-L28</f>
        <v>953.73999999999978</v>
      </c>
    </row>
    <row r="29" spans="2:14" x14ac:dyDescent="0.25">
      <c r="B29" s="15" t="s">
        <v>93</v>
      </c>
      <c r="C29" s="26">
        <v>619</v>
      </c>
      <c r="D29" s="26">
        <v>1269</v>
      </c>
      <c r="E29" s="26">
        <v>1599</v>
      </c>
      <c r="F29" s="26">
        <v>1573</v>
      </c>
      <c r="G29" s="26">
        <v>1605</v>
      </c>
      <c r="H29" s="26">
        <v>1418</v>
      </c>
      <c r="I29" s="26">
        <f>-I19</f>
        <v>1790</v>
      </c>
      <c r="J29" s="26">
        <f t="shared" si="7"/>
        <v>372</v>
      </c>
      <c r="L29" s="26">
        <v>1296</v>
      </c>
      <c r="M29" s="26">
        <v>2078</v>
      </c>
      <c r="N29" s="26">
        <f t="shared" si="8"/>
        <v>782</v>
      </c>
    </row>
    <row r="30" spans="2:14" x14ac:dyDescent="0.25">
      <c r="B30" s="15" t="s">
        <v>21</v>
      </c>
      <c r="C30" s="26">
        <v>-210.18100000000001</v>
      </c>
      <c r="D30" s="26">
        <v>-200.333</v>
      </c>
      <c r="E30" s="26">
        <v>-443.23500000000001</v>
      </c>
      <c r="F30" s="26">
        <v>-592</v>
      </c>
      <c r="G30" s="26">
        <v>-798</v>
      </c>
      <c r="H30" s="26">
        <v>-1058</v>
      </c>
      <c r="I30" s="26">
        <f>-I5</f>
        <v>-1342</v>
      </c>
      <c r="J30" s="26">
        <f t="shared" si="7"/>
        <v>-284</v>
      </c>
      <c r="L30" s="26">
        <v>-1006</v>
      </c>
      <c r="M30" s="26">
        <v>-1915</v>
      </c>
      <c r="N30" s="26">
        <f t="shared" si="8"/>
        <v>-909</v>
      </c>
    </row>
    <row r="31" spans="2:14" x14ac:dyDescent="0.25">
      <c r="B31" s="15" t="s">
        <v>98</v>
      </c>
      <c r="C31" s="29" t="s">
        <v>15</v>
      </c>
      <c r="D31" s="29" t="s">
        <v>15</v>
      </c>
      <c r="E31" s="29" t="s">
        <v>15</v>
      </c>
      <c r="F31" s="29" t="s">
        <v>15</v>
      </c>
      <c r="G31" s="29" t="s">
        <v>15</v>
      </c>
      <c r="H31" s="29" t="s">
        <v>15</v>
      </c>
      <c r="I31" s="26">
        <v>-492</v>
      </c>
      <c r="J31" s="29">
        <f>I31</f>
        <v>-492</v>
      </c>
      <c r="L31" s="29" t="s">
        <v>15</v>
      </c>
      <c r="M31" s="29" t="s">
        <v>15</v>
      </c>
      <c r="N31" s="29" t="s">
        <v>15</v>
      </c>
    </row>
    <row r="32" spans="2:14" x14ac:dyDescent="0.25">
      <c r="B32" s="15" t="s">
        <v>99</v>
      </c>
      <c r="C32" s="26">
        <v>59.891264166825501</v>
      </c>
      <c r="D32" s="26">
        <v>157.74175616908124</v>
      </c>
      <c r="E32" s="26">
        <v>96.990114718442669</v>
      </c>
      <c r="F32" s="26">
        <v>426.7</v>
      </c>
      <c r="G32" s="26">
        <v>819</v>
      </c>
      <c r="H32" s="26">
        <v>1092.24550456213</v>
      </c>
      <c r="I32" s="26">
        <v>998</v>
      </c>
      <c r="J32" s="26">
        <f t="shared" si="7"/>
        <v>-94.245504562130009</v>
      </c>
      <c r="L32" s="26">
        <v>1054</v>
      </c>
      <c r="M32" s="26">
        <v>1638</v>
      </c>
      <c r="N32" s="26">
        <f t="shared" ref="N32:N34" si="9">M32-L32</f>
        <v>584</v>
      </c>
    </row>
    <row r="33" spans="2:14" x14ac:dyDescent="0.25">
      <c r="B33" s="5" t="s">
        <v>100</v>
      </c>
      <c r="C33" s="30">
        <v>1435.1508636508995</v>
      </c>
      <c r="D33" s="30">
        <v>2661.559619819981</v>
      </c>
      <c r="E33" s="30">
        <v>3914.3147345384236</v>
      </c>
      <c r="F33" s="30">
        <v>5322.0147345384239</v>
      </c>
      <c r="G33" s="30">
        <v>6948.0147345384239</v>
      </c>
      <c r="H33" s="30">
        <v>8400.2602391005548</v>
      </c>
      <c r="I33" s="30">
        <f>SUM(I28:I32)</f>
        <v>9354.2602391005548</v>
      </c>
      <c r="J33" s="30">
        <f t="shared" si="7"/>
        <v>954</v>
      </c>
      <c r="K33" s="33"/>
      <c r="L33" s="30">
        <f>SUM(L28:L32)</f>
        <v>9744.26</v>
      </c>
      <c r="M33" s="30">
        <f>SUM(M28:M32)</f>
        <v>11155</v>
      </c>
      <c r="N33" s="30">
        <f t="shared" si="9"/>
        <v>1410.7399999999998</v>
      </c>
    </row>
    <row r="34" spans="2:14" x14ac:dyDescent="0.25">
      <c r="B34" s="14" t="s">
        <v>101</v>
      </c>
      <c r="C34" s="36">
        <v>9.9699999999999997E-2</v>
      </c>
      <c r="D34" s="36">
        <v>9.9699999999999997E-2</v>
      </c>
      <c r="E34" s="36">
        <v>0.1191</v>
      </c>
      <c r="F34" s="36">
        <v>0.1191</v>
      </c>
      <c r="G34" s="36">
        <v>0.1361</v>
      </c>
      <c r="H34" s="36">
        <v>0.1361</v>
      </c>
      <c r="I34" s="36">
        <v>0.13609999999999997</v>
      </c>
      <c r="J34" s="36">
        <f t="shared" si="7"/>
        <v>0</v>
      </c>
      <c r="L34" s="36">
        <v>0.1361</v>
      </c>
      <c r="M34" s="36">
        <v>0.123</v>
      </c>
      <c r="N34" s="36">
        <f t="shared" si="9"/>
        <v>-1.3100000000000001E-2</v>
      </c>
    </row>
    <row r="35" spans="2:14" x14ac:dyDescent="0.25">
      <c r="B35" s="5" t="s">
        <v>48</v>
      </c>
      <c r="C35" s="37"/>
      <c r="D35" s="37"/>
      <c r="E35" s="37"/>
      <c r="F35" s="37"/>
      <c r="G35" s="37"/>
      <c r="H35" s="37"/>
      <c r="I35" s="37"/>
      <c r="J35" s="37"/>
      <c r="K35" s="33"/>
      <c r="L35" s="37"/>
      <c r="M35" s="37"/>
      <c r="N35" s="37"/>
    </row>
    <row r="36" spans="2:14" x14ac:dyDescent="0.25">
      <c r="B36" s="14" t="s">
        <v>102</v>
      </c>
      <c r="C36" s="26">
        <v>567.00000000000011</v>
      </c>
      <c r="D36" s="26">
        <v>567</v>
      </c>
      <c r="E36" s="26">
        <v>863.87649800000008</v>
      </c>
      <c r="F36" s="26">
        <v>863.87649800000008</v>
      </c>
      <c r="G36" s="26">
        <v>863.87649800000008</v>
      </c>
      <c r="H36" s="26">
        <v>863.87649799999997</v>
      </c>
      <c r="I36" s="26">
        <v>864</v>
      </c>
      <c r="J36" s="26">
        <f t="shared" si="7"/>
        <v>0.12350200000003042</v>
      </c>
      <c r="L36" s="26">
        <v>648</v>
      </c>
      <c r="M36" s="26">
        <v>1114</v>
      </c>
      <c r="N36" s="26">
        <f t="shared" ref="N36:N39" si="10">M36-L36</f>
        <v>466</v>
      </c>
    </row>
    <row r="37" spans="2:14" x14ac:dyDescent="0.25">
      <c r="B37" s="14" t="s">
        <v>103</v>
      </c>
      <c r="C37" s="26">
        <v>525.66332335329355</v>
      </c>
      <c r="D37" s="26">
        <v>571.97426214071868</v>
      </c>
      <c r="E37" s="26">
        <v>903.09364590696111</v>
      </c>
      <c r="F37" s="26">
        <v>1001.5406495151198</v>
      </c>
      <c r="G37" s="26">
        <v>1156</v>
      </c>
      <c r="H37" s="26">
        <v>1337.2950444151948</v>
      </c>
      <c r="I37" s="26">
        <v>1506</v>
      </c>
      <c r="J37" s="26">
        <f t="shared" si="7"/>
        <v>168.70495558480525</v>
      </c>
      <c r="L37" s="26">
        <v>1130</v>
      </c>
      <c r="M37" s="26">
        <v>2283</v>
      </c>
      <c r="N37" s="26">
        <f t="shared" si="10"/>
        <v>1153</v>
      </c>
    </row>
    <row r="38" spans="2:14" x14ac:dyDescent="0.25">
      <c r="B38" s="14" t="s">
        <v>93</v>
      </c>
      <c r="C38" s="26">
        <v>619</v>
      </c>
      <c r="D38" s="26">
        <v>1269</v>
      </c>
      <c r="E38" s="26">
        <v>1599</v>
      </c>
      <c r="F38" s="26">
        <v>1573</v>
      </c>
      <c r="G38" s="26">
        <v>1605</v>
      </c>
      <c r="H38" s="26">
        <v>1418</v>
      </c>
      <c r="I38" s="26">
        <f>I29</f>
        <v>1790</v>
      </c>
      <c r="J38" s="26">
        <f t="shared" si="7"/>
        <v>372</v>
      </c>
      <c r="L38" s="26">
        <v>1296</v>
      </c>
      <c r="M38" s="26">
        <v>2078</v>
      </c>
      <c r="N38" s="26">
        <f t="shared" si="10"/>
        <v>782</v>
      </c>
    </row>
    <row r="39" spans="2:14" x14ac:dyDescent="0.25">
      <c r="B39" s="14" t="s">
        <v>104</v>
      </c>
      <c r="C39" s="38">
        <f>C38/C37-1</f>
        <v>0.17755980396596116</v>
      </c>
      <c r="D39" s="38">
        <f t="shared" ref="D39:I39" si="11">D38/D37-1</f>
        <v>1.2186312986366459</v>
      </c>
      <c r="E39" s="38">
        <f t="shared" si="11"/>
        <v>0.77058050097800468</v>
      </c>
      <c r="F39" s="38">
        <f t="shared" si="11"/>
        <v>0.57058028624354229</v>
      </c>
      <c r="G39" s="38">
        <f t="shared" si="11"/>
        <v>0.3884083044982698</v>
      </c>
      <c r="H39" s="38">
        <f t="shared" si="11"/>
        <v>6.0349401519017798E-2</v>
      </c>
      <c r="I39" s="38">
        <f t="shared" si="11"/>
        <v>0.18857901726427628</v>
      </c>
      <c r="J39" s="38">
        <f t="shared" si="7"/>
        <v>0.12822961574525849</v>
      </c>
      <c r="L39" s="38">
        <f t="shared" ref="L39:M39" si="12">L38/L37-1</f>
        <v>0.14690265486725673</v>
      </c>
      <c r="M39" s="38">
        <f t="shared" si="12"/>
        <v>-8.9794130530004401E-2</v>
      </c>
      <c r="N39" s="38">
        <f t="shared" si="10"/>
        <v>-0.23669678539726113</v>
      </c>
    </row>
    <row r="40" spans="2:14" x14ac:dyDescent="0.25">
      <c r="B40" s="5" t="s">
        <v>105</v>
      </c>
      <c r="C40" s="39"/>
      <c r="D40" s="39"/>
      <c r="E40" s="39"/>
      <c r="F40" s="39"/>
      <c r="G40" s="39"/>
      <c r="H40" s="39"/>
      <c r="I40" s="39"/>
      <c r="J40" s="39"/>
      <c r="K40" s="33"/>
      <c r="L40" s="39"/>
      <c r="M40" s="39"/>
      <c r="N40" s="39"/>
    </row>
    <row r="41" spans="2:14" x14ac:dyDescent="0.25">
      <c r="B41" s="14" t="s">
        <v>106</v>
      </c>
      <c r="C41" s="40">
        <v>7.8799999999999995E-2</v>
      </c>
      <c r="D41" s="40">
        <v>7.8799999999999995E-2</v>
      </c>
      <c r="E41" s="40">
        <v>0.08</v>
      </c>
      <c r="F41" s="40">
        <v>7.7499999999999999E-2</v>
      </c>
      <c r="G41" s="41">
        <v>7.6352424951418529E-2</v>
      </c>
      <c r="H41" s="41">
        <v>7.3323606072953129E-2</v>
      </c>
      <c r="I41" s="41">
        <v>7.1800000000000003E-2</v>
      </c>
      <c r="J41" s="41">
        <f t="shared" si="7"/>
        <v>-1.5236060729531264E-3</v>
      </c>
      <c r="L41" s="40">
        <v>7.1800000000000003E-2</v>
      </c>
      <c r="M41" s="40">
        <v>6.7599999999999993E-2</v>
      </c>
      <c r="N41" s="40">
        <f t="shared" ref="N41:N44" si="13">M41-L41</f>
        <v>-4.2000000000000093E-3</v>
      </c>
    </row>
    <row r="42" spans="2:14" x14ac:dyDescent="0.25">
      <c r="B42" s="14" t="s">
        <v>107</v>
      </c>
      <c r="C42" s="40">
        <v>7.6799999999999993E-2</v>
      </c>
      <c r="D42" s="40">
        <v>7.0000000000000007E-2</v>
      </c>
      <c r="E42" s="40">
        <v>6.9800000000000001E-2</v>
      </c>
      <c r="F42" s="40">
        <v>6.0496507664818691E-2</v>
      </c>
      <c r="G42" s="41">
        <v>6.107955885564343E-2</v>
      </c>
      <c r="H42" s="41">
        <v>5.7048399613746324E-2</v>
      </c>
      <c r="I42" s="41">
        <v>6.0291549277044644E-2</v>
      </c>
      <c r="J42" s="41">
        <f t="shared" si="7"/>
        <v>3.2431496632983198E-3</v>
      </c>
      <c r="L42" s="40">
        <v>5.8008455496020107E-2</v>
      </c>
      <c r="M42" s="40">
        <v>5.3419412050397297E-2</v>
      </c>
      <c r="N42" s="40">
        <f t="shared" si="13"/>
        <v>-4.5890434456228105E-3</v>
      </c>
    </row>
    <row r="43" spans="2:14" x14ac:dyDescent="0.25">
      <c r="B43" s="14" t="s">
        <v>108</v>
      </c>
      <c r="C43" s="40">
        <f>C41-C42</f>
        <v>2.0000000000000018E-3</v>
      </c>
      <c r="D43" s="40">
        <f>D41-D42</f>
        <v>8.7999999999999884E-3</v>
      </c>
      <c r="E43" s="40">
        <f>E41-E42</f>
        <v>1.0200000000000001E-2</v>
      </c>
      <c r="F43" s="40">
        <v>1.7003492335181308E-2</v>
      </c>
      <c r="G43" s="40">
        <f t="shared" ref="G43:I43" si="14">G41-G42</f>
        <v>1.5272866095775099E-2</v>
      </c>
      <c r="H43" s="40">
        <f t="shared" si="14"/>
        <v>1.6275206459206805E-2</v>
      </c>
      <c r="I43" s="40">
        <f t="shared" si="14"/>
        <v>1.1508450722955359E-2</v>
      </c>
      <c r="J43" s="41">
        <f t="shared" si="7"/>
        <v>-4.7667557362514462E-3</v>
      </c>
      <c r="L43" s="40">
        <f t="shared" ref="L43:M43" si="15">L41-L42</f>
        <v>1.3791544503979895E-2</v>
      </c>
      <c r="M43" s="40">
        <f t="shared" si="15"/>
        <v>1.4180587949602697E-2</v>
      </c>
      <c r="N43" s="40">
        <f t="shared" si="13"/>
        <v>3.8904344562280119E-4</v>
      </c>
    </row>
    <row r="44" spans="2:14" x14ac:dyDescent="0.25">
      <c r="B44" s="14" t="s">
        <v>109</v>
      </c>
      <c r="C44" s="42">
        <v>14.3</v>
      </c>
      <c r="D44" s="42">
        <v>15</v>
      </c>
      <c r="E44" s="42">
        <v>15.3</v>
      </c>
      <c r="F44" s="42">
        <v>16</v>
      </c>
      <c r="G44" s="42">
        <v>16.2</v>
      </c>
      <c r="H44" s="42">
        <v>15.9</v>
      </c>
      <c r="I44" s="42">
        <v>15.7568085397094</v>
      </c>
      <c r="J44" s="42">
        <f t="shared" si="7"/>
        <v>-0.14319146029060015</v>
      </c>
      <c r="L44" s="42">
        <v>11.718307252157549</v>
      </c>
      <c r="M44" s="42">
        <v>12.147432301728021</v>
      </c>
      <c r="N44" s="42">
        <f t="shared" si="13"/>
        <v>0.42912504957047126</v>
      </c>
    </row>
    <row r="45" spans="2:14" x14ac:dyDescent="0.25">
      <c r="B45" s="5" t="s">
        <v>110</v>
      </c>
      <c r="C45" s="39"/>
      <c r="D45" s="39"/>
      <c r="E45" s="39"/>
      <c r="F45" s="39"/>
      <c r="G45" s="39"/>
      <c r="H45" s="39"/>
      <c r="I45" s="39"/>
      <c r="J45" s="39"/>
      <c r="K45" s="33"/>
      <c r="L45" s="39"/>
      <c r="M45" s="39"/>
      <c r="N45" s="39"/>
    </row>
    <row r="46" spans="2:14" x14ac:dyDescent="0.25">
      <c r="B46" s="14" t="s">
        <v>106</v>
      </c>
      <c r="C46" s="40">
        <v>6.6100000000000006E-2</v>
      </c>
      <c r="D46" s="40">
        <v>6.6100000000000006E-2</v>
      </c>
      <c r="E46" s="40">
        <v>7.6100000000000001E-2</v>
      </c>
      <c r="F46" s="41">
        <v>7.6316666666666672E-2</v>
      </c>
      <c r="G46" s="41">
        <v>7.4955134146130781E-2</v>
      </c>
      <c r="H46" s="41">
        <v>7.3127731018089281E-2</v>
      </c>
      <c r="I46" s="41">
        <v>7.1499999999999994E-2</v>
      </c>
      <c r="J46" s="41">
        <f t="shared" si="7"/>
        <v>-1.6277310180892873E-3</v>
      </c>
      <c r="L46" s="40">
        <v>7.1499999999999994E-2</v>
      </c>
      <c r="M46" s="40">
        <v>6.6199999999999995E-2</v>
      </c>
      <c r="N46" s="40">
        <f t="shared" ref="N46:N49" si="16">M46-L46</f>
        <v>-5.2999999999999992E-3</v>
      </c>
    </row>
    <row r="47" spans="2:14" x14ac:dyDescent="0.25">
      <c r="B47" s="14" t="s">
        <v>107</v>
      </c>
      <c r="C47" s="40">
        <v>7.2000000000000008E-2</v>
      </c>
      <c r="D47" s="40">
        <v>7.0200000000000012E-2</v>
      </c>
      <c r="E47" s="40">
        <v>6.7799999999999999E-2</v>
      </c>
      <c r="F47" s="41">
        <v>6.1040921531194961E-2</v>
      </c>
      <c r="G47" s="41">
        <v>6.0422329224719774E-2</v>
      </c>
      <c r="H47" s="41">
        <v>5.4954367895907096E-2</v>
      </c>
      <c r="I47" s="41">
        <v>5.756612038884245E-2</v>
      </c>
      <c r="J47" s="41">
        <f t="shared" si="7"/>
        <v>2.6117524929353542E-3</v>
      </c>
      <c r="L47" s="40">
        <v>5.6531908202679948E-2</v>
      </c>
      <c r="M47" s="40">
        <v>4.9575121864566959E-2</v>
      </c>
      <c r="N47" s="40">
        <f t="shared" si="16"/>
        <v>-6.9567863381129885E-3</v>
      </c>
    </row>
    <row r="48" spans="2:14" x14ac:dyDescent="0.25">
      <c r="B48" s="14" t="s">
        <v>108</v>
      </c>
      <c r="C48" s="40">
        <f>C46-C47</f>
        <v>-5.9000000000000025E-3</v>
      </c>
      <c r="D48" s="40">
        <f>D46-D47</f>
        <v>-4.1000000000000064E-3</v>
      </c>
      <c r="E48" s="40">
        <f>E46-E47</f>
        <v>8.3000000000000018E-3</v>
      </c>
      <c r="F48" s="41">
        <v>1.5275745135471711E-2</v>
      </c>
      <c r="G48" s="40">
        <f t="shared" ref="G48:I48" si="17">G46-G47</f>
        <v>1.4532804921411006E-2</v>
      </c>
      <c r="H48" s="40">
        <f t="shared" si="17"/>
        <v>1.8173363122182186E-2</v>
      </c>
      <c r="I48" s="40">
        <f t="shared" si="17"/>
        <v>1.3933879611157544E-2</v>
      </c>
      <c r="J48" s="41">
        <f t="shared" si="7"/>
        <v>-4.2394835110246415E-3</v>
      </c>
      <c r="L48" s="40">
        <f t="shared" ref="L48:M48" si="18">L46-L47</f>
        <v>1.4968091797320046E-2</v>
      </c>
      <c r="M48" s="40">
        <f t="shared" si="18"/>
        <v>1.6624878135433035E-2</v>
      </c>
      <c r="N48" s="40">
        <f t="shared" si="16"/>
        <v>1.6567863381129894E-3</v>
      </c>
    </row>
    <row r="49" spans="2:14" x14ac:dyDescent="0.25">
      <c r="B49" s="14" t="s">
        <v>109</v>
      </c>
      <c r="C49" s="42">
        <v>11.1</v>
      </c>
      <c r="D49" s="42">
        <v>11.6</v>
      </c>
      <c r="E49" s="42">
        <v>11.9</v>
      </c>
      <c r="F49" s="42">
        <v>12.3</v>
      </c>
      <c r="G49" s="42">
        <v>12.6</v>
      </c>
      <c r="H49" s="42">
        <v>12.4</v>
      </c>
      <c r="I49" s="42">
        <v>12.098271876945752</v>
      </c>
      <c r="J49" s="42">
        <f t="shared" si="7"/>
        <v>-0.30172812305424834</v>
      </c>
      <c r="L49" s="42">
        <v>8.9803194133911752</v>
      </c>
      <c r="M49" s="42">
        <v>9.3154796440086436</v>
      </c>
      <c r="N49" s="42">
        <f t="shared" si="16"/>
        <v>0.33516023061746836</v>
      </c>
    </row>
    <row r="50" spans="2:14" x14ac:dyDescent="0.25">
      <c r="B50" s="5" t="s">
        <v>111</v>
      </c>
      <c r="C50" s="39"/>
      <c r="D50" s="39"/>
      <c r="E50" s="39"/>
      <c r="F50" s="39"/>
      <c r="G50" s="39"/>
      <c r="H50" s="39"/>
      <c r="I50" s="39"/>
      <c r="J50" s="39"/>
      <c r="K50" s="33"/>
      <c r="L50" s="39"/>
      <c r="M50" s="39"/>
      <c r="N50" s="39"/>
    </row>
    <row r="51" spans="2:14" x14ac:dyDescent="0.25">
      <c r="B51" s="14" t="s">
        <v>106</v>
      </c>
      <c r="C51" s="40">
        <v>0.1124</v>
      </c>
      <c r="D51" s="40">
        <v>0.1171</v>
      </c>
      <c r="E51" s="40">
        <v>0.13589999999999999</v>
      </c>
      <c r="F51" s="40">
        <v>0.13320000000000001</v>
      </c>
      <c r="G51" s="41">
        <v>0.1234</v>
      </c>
      <c r="H51" s="41">
        <v>0.11736455562286591</v>
      </c>
      <c r="I51" s="41">
        <v>0.1154</v>
      </c>
      <c r="J51" s="41">
        <f t="shared" si="7"/>
        <v>-1.9645556228659045E-3</v>
      </c>
      <c r="L51" s="40">
        <v>0.1154</v>
      </c>
      <c r="M51" s="40">
        <v>0.1143</v>
      </c>
      <c r="N51" s="40">
        <f t="shared" ref="N51:N54" si="19">M51-L51</f>
        <v>-1.1000000000000038E-3</v>
      </c>
    </row>
    <row r="52" spans="2:14" x14ac:dyDescent="0.25">
      <c r="B52" s="14" t="s">
        <v>107</v>
      </c>
      <c r="C52" s="40">
        <v>0.1318</v>
      </c>
      <c r="D52" s="40">
        <v>0.12498657911970756</v>
      </c>
      <c r="E52" s="40">
        <v>0.12119999999999999</v>
      </c>
      <c r="F52" s="40">
        <v>0.1136432884121565</v>
      </c>
      <c r="G52" s="41">
        <v>0.11852468775041411</v>
      </c>
      <c r="H52" s="41">
        <v>0.11381892467839186</v>
      </c>
      <c r="I52" s="41">
        <v>0.11403420074108145</v>
      </c>
      <c r="J52" s="41">
        <f t="shared" si="7"/>
        <v>2.1527606268958999E-4</v>
      </c>
      <c r="L52" s="40">
        <v>0.1141193978895168</v>
      </c>
      <c r="M52" s="40">
        <v>0.11222937022392146</v>
      </c>
      <c r="N52" s="40">
        <f t="shared" si="19"/>
        <v>-1.8900276655953452E-3</v>
      </c>
    </row>
    <row r="53" spans="2:14" x14ac:dyDescent="0.25">
      <c r="B53" s="14" t="s">
        <v>108</v>
      </c>
      <c r="C53" s="40">
        <f>C51-C52</f>
        <v>-1.9400000000000001E-2</v>
      </c>
      <c r="D53" s="40">
        <f>D51-D52</f>
        <v>-7.886579119707568E-3</v>
      </c>
      <c r="E53" s="40">
        <f>E51-E52</f>
        <v>1.4700000000000005E-2</v>
      </c>
      <c r="F53" s="40">
        <v>1.9556711587843514E-2</v>
      </c>
      <c r="G53" s="40">
        <f t="shared" ref="G53:H53" si="20">G51-G52</f>
        <v>4.8753122495858864E-3</v>
      </c>
      <c r="H53" s="40">
        <f t="shared" si="20"/>
        <v>3.5456309444740486E-3</v>
      </c>
      <c r="I53" s="40">
        <f>I51-I52</f>
        <v>1.3657992589185541E-3</v>
      </c>
      <c r="J53" s="41">
        <f t="shared" si="7"/>
        <v>-2.1798316855554944E-3</v>
      </c>
      <c r="L53" s="40">
        <f>L51-L52</f>
        <v>1.2806021104831977E-3</v>
      </c>
      <c r="M53" s="40">
        <f>M51-M52</f>
        <v>2.0706297760785392E-3</v>
      </c>
      <c r="N53" s="40">
        <f t="shared" si="19"/>
        <v>7.9002766559534143E-4</v>
      </c>
    </row>
    <row r="54" spans="2:14" x14ac:dyDescent="0.25">
      <c r="B54" s="14" t="s">
        <v>109</v>
      </c>
      <c r="C54" s="42">
        <v>14.9</v>
      </c>
      <c r="D54" s="42">
        <v>15.7</v>
      </c>
      <c r="E54" s="42">
        <v>16.3</v>
      </c>
      <c r="F54" s="42">
        <v>17.2</v>
      </c>
      <c r="G54" s="42">
        <v>17.399999999999999</v>
      </c>
      <c r="H54" s="42">
        <v>17.600000000000001</v>
      </c>
      <c r="I54" s="42">
        <v>18.197716268826294</v>
      </c>
      <c r="J54" s="42">
        <f t="shared" si="7"/>
        <v>0.59771626882629292</v>
      </c>
      <c r="L54" s="42">
        <v>13.876437314002937</v>
      </c>
      <c r="M54" s="42">
        <v>14.401256791648217</v>
      </c>
      <c r="N54" s="42">
        <f t="shared" si="19"/>
        <v>0.52481947764528059</v>
      </c>
    </row>
    <row r="55" spans="2:14" x14ac:dyDescent="0.25">
      <c r="B55" s="5" t="s">
        <v>88</v>
      </c>
      <c r="C55" s="39"/>
      <c r="D55" s="39"/>
      <c r="E55" s="39"/>
      <c r="F55" s="39"/>
      <c r="G55" s="39"/>
      <c r="H55" s="39"/>
      <c r="I55" s="39"/>
      <c r="J55" s="39"/>
      <c r="L55" s="39"/>
      <c r="M55" s="39"/>
      <c r="N55" s="39"/>
    </row>
    <row r="56" spans="2:14" x14ac:dyDescent="0.25">
      <c r="B56" s="14" t="s">
        <v>112</v>
      </c>
      <c r="C56" s="26">
        <v>7</v>
      </c>
      <c r="D56" s="26">
        <v>17</v>
      </c>
      <c r="E56" s="26">
        <v>36</v>
      </c>
      <c r="F56" s="26">
        <v>206</v>
      </c>
      <c r="G56" s="26">
        <v>314</v>
      </c>
      <c r="H56" s="26">
        <v>329</v>
      </c>
      <c r="I56" s="26">
        <v>315</v>
      </c>
      <c r="J56" s="26">
        <f t="shared" ref="J56:J57" si="21">I56-H56</f>
        <v>-14</v>
      </c>
      <c r="L56" s="26">
        <v>236</v>
      </c>
      <c r="M56" s="26">
        <v>226</v>
      </c>
      <c r="N56" s="26">
        <f t="shared" ref="N56:N57" si="22">M56-L56</f>
        <v>-10</v>
      </c>
    </row>
    <row r="57" spans="2:14" x14ac:dyDescent="0.25">
      <c r="B57" s="14" t="s">
        <v>113</v>
      </c>
      <c r="C57" s="26">
        <v>0</v>
      </c>
      <c r="D57" s="26">
        <v>0</v>
      </c>
      <c r="E57" s="26">
        <v>18</v>
      </c>
      <c r="F57" s="26">
        <v>71</v>
      </c>
      <c r="G57" s="26">
        <v>99</v>
      </c>
      <c r="H57" s="26">
        <v>137</v>
      </c>
      <c r="I57" s="26">
        <v>131</v>
      </c>
      <c r="J57" s="26">
        <f t="shared" si="21"/>
        <v>-6</v>
      </c>
      <c r="L57" s="26">
        <v>89</v>
      </c>
      <c r="M57" s="26">
        <v>73</v>
      </c>
      <c r="N57" s="26">
        <f t="shared" si="22"/>
        <v>-16</v>
      </c>
    </row>
    <row r="58" spans="2:14" x14ac:dyDescent="0.25">
      <c r="B58" s="5" t="s">
        <v>36</v>
      </c>
      <c r="C58" s="39"/>
      <c r="D58" s="39"/>
      <c r="E58" s="39"/>
      <c r="F58" s="39"/>
      <c r="G58" s="39"/>
      <c r="H58" s="39"/>
      <c r="I58" s="39"/>
      <c r="J58" s="39"/>
      <c r="K58" s="33"/>
      <c r="L58" s="39"/>
      <c r="M58" s="39"/>
      <c r="N58" s="39"/>
    </row>
    <row r="59" spans="2:14" x14ac:dyDescent="0.25">
      <c r="B59" s="1" t="s">
        <v>114</v>
      </c>
      <c r="C59" s="23">
        <v>207106</v>
      </c>
      <c r="D59" s="23">
        <v>211378</v>
      </c>
      <c r="E59" s="23">
        <v>217853</v>
      </c>
      <c r="F59" s="23">
        <v>219920</v>
      </c>
      <c r="G59" s="23">
        <v>226708</v>
      </c>
      <c r="H59" s="23">
        <v>231582</v>
      </c>
      <c r="I59" s="23">
        <v>236064</v>
      </c>
      <c r="J59" s="23">
        <f t="shared" si="7"/>
        <v>4482</v>
      </c>
      <c r="L59" s="23">
        <v>234191</v>
      </c>
      <c r="M59" s="23">
        <v>245943.19</v>
      </c>
      <c r="N59" s="23">
        <f t="shared" ref="N59:N60" si="23">M59-L59</f>
        <v>11752.190000000002</v>
      </c>
    </row>
    <row r="60" spans="2:14" x14ac:dyDescent="0.25">
      <c r="B60" s="1" t="s">
        <v>115</v>
      </c>
      <c r="C60" s="43">
        <v>9.9</v>
      </c>
      <c r="D60" s="43">
        <v>10.199999999999999</v>
      </c>
      <c r="E60" s="43">
        <v>10.5</v>
      </c>
      <c r="F60" s="43">
        <v>10.9</v>
      </c>
      <c r="G60" s="43">
        <v>10.9</v>
      </c>
      <c r="H60" s="43">
        <v>11.2</v>
      </c>
      <c r="I60" s="43">
        <v>11.446</v>
      </c>
      <c r="J60" s="43">
        <f t="shared" si="7"/>
        <v>0.24600000000000044</v>
      </c>
      <c r="L60" s="43">
        <v>11.39</v>
      </c>
      <c r="M60" s="43">
        <v>11.632020000000001</v>
      </c>
      <c r="N60" s="43">
        <f t="shared" si="23"/>
        <v>0.24202000000000012</v>
      </c>
    </row>
    <row r="61" spans="2:14" x14ac:dyDescent="0.25">
      <c r="C61" s="44"/>
      <c r="D61" s="44"/>
      <c r="E61" s="44"/>
    </row>
    <row r="62" spans="2:14" x14ac:dyDescent="0.25">
      <c r="C62" s="22"/>
      <c r="D62" s="22"/>
      <c r="E62" s="22"/>
      <c r="F62" s="22"/>
      <c r="G62" s="22"/>
      <c r="H62" s="22"/>
      <c r="I62" s="22"/>
      <c r="L62" s="22"/>
      <c r="M62" s="22"/>
    </row>
    <row r="64" spans="2:14" x14ac:dyDescent="0.25">
      <c r="H64" s="22"/>
      <c r="I64" s="22"/>
      <c r="L64" s="22"/>
      <c r="M64" s="22"/>
    </row>
  </sheetData>
  <pageMargins left="0.7" right="0.7" top="0.75" bottom="0.75" header="0.3" footer="0.3"/>
  <pageSetup paperSize="9" scale="46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FactSheet_Cons</vt:lpstr>
      <vt:lpstr>FactSheet _Retail</vt:lpstr>
      <vt:lpstr>FactSheet_Disco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CLASSIFICATION=I4886p293727nO8</cp:keywords>
  <cp:lastModifiedBy>Ozde UNSAL</cp:lastModifiedBy>
  <cp:lastPrinted>2021-11-01T08:51:09Z</cp:lastPrinted>
  <dcterms:created xsi:type="dcterms:W3CDTF">2021-11-01T06:48:55Z</dcterms:created>
  <dcterms:modified xsi:type="dcterms:W3CDTF">2021-11-02T14:07:39Z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1ed29a08-6cb2-4409-bedb-9af13e232c94</vt:lpwstr>
  </property>
  <property fmtid="{D5CDD505-2E9C-101B-9397-08002B2CF9AE}" pid="3" name="FirstClassifierName">
    <vt:lpwstr>Ozde UNSAL</vt:lpwstr>
  </property>
  <property fmtid="{D5CDD505-2E9C-101B-9397-08002B2CF9AE}" pid="4" name="FirstClassifiedDate">
    <vt:lpwstr>01/11/2021, 11:48</vt:lpwstr>
  </property>
  <property fmtid="{D5CDD505-2E9C-101B-9397-08002B2CF9AE}" pid="5" name="LastClassifiedDate">
    <vt:lpwstr>01/11/2021, 11:48</vt:lpwstr>
  </property>
  <property fmtid="{D5CDD505-2E9C-101B-9397-08002B2CF9AE}" pid="6" name="LastClassifierName">
    <vt:lpwstr>Ozde UNSAL</vt:lpwstr>
  </property>
  <property fmtid="{D5CDD505-2E9C-101B-9397-08002B2CF9AE}" pid="7" name="CLASSIFICATION">
    <vt:lpwstr>I4886p293727nO8</vt:lpwstr>
  </property>
</Properties>
</file>