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5May\Fact Sheet\"/>
    </mc:Choice>
  </mc:AlternateContent>
  <xr:revisionPtr revIDLastSave="0" documentId="13_ncr:1_{FB1073F8-26A1-4853-9A06-9682DBBEA0FE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P55" i="2"/>
  <c r="O53" i="2"/>
  <c r="P53" i="2" s="1"/>
  <c r="O52" i="2"/>
  <c r="P52" i="2" s="1"/>
  <c r="P50" i="2"/>
  <c r="P49" i="2"/>
  <c r="P46" i="2"/>
  <c r="P45" i="2"/>
  <c r="P44" i="2"/>
  <c r="P43" i="2"/>
  <c r="P42" i="2"/>
  <c r="P41" i="2"/>
  <c r="O40" i="2"/>
  <c r="N40" i="2"/>
  <c r="N38" i="2" s="1"/>
  <c r="P39" i="2"/>
  <c r="O38" i="2"/>
  <c r="P32" i="2"/>
  <c r="P30" i="2"/>
  <c r="P28" i="2"/>
  <c r="P27" i="2"/>
  <c r="P26" i="2"/>
  <c r="O25" i="2"/>
  <c r="O29" i="2" s="1"/>
  <c r="O31" i="2" s="1"/>
  <c r="N25" i="2"/>
  <c r="N29" i="2" s="1"/>
  <c r="N31" i="2" s="1"/>
  <c r="N33" i="2" s="1"/>
  <c r="P24" i="2"/>
  <c r="P23" i="2"/>
  <c r="P17" i="2"/>
  <c r="P15" i="2"/>
  <c r="P14" i="2"/>
  <c r="P13" i="2"/>
  <c r="N12" i="2"/>
  <c r="N16" i="2" s="1"/>
  <c r="N18" i="2" s="1"/>
  <c r="P11" i="2"/>
  <c r="P10" i="2"/>
  <c r="P9" i="2"/>
  <c r="P8" i="2"/>
  <c r="O7" i="2"/>
  <c r="O12" i="2" s="1"/>
  <c r="N7" i="2"/>
  <c r="P6" i="2"/>
  <c r="P5" i="2"/>
  <c r="P4" i="2"/>
  <c r="P60" i="3"/>
  <c r="P59" i="3"/>
  <c r="P57" i="3"/>
  <c r="P56" i="3"/>
  <c r="P54" i="3"/>
  <c r="O53" i="3"/>
  <c r="P53" i="3" s="1"/>
  <c r="P52" i="3"/>
  <c r="P51" i="3"/>
  <c r="P49" i="3"/>
  <c r="O48" i="3"/>
  <c r="P48" i="3" s="1"/>
  <c r="P47" i="3"/>
  <c r="P46" i="3"/>
  <c r="P44" i="3"/>
  <c r="O43" i="3"/>
  <c r="P43" i="3" s="1"/>
  <c r="P42" i="3"/>
  <c r="P41" i="3"/>
  <c r="P39" i="3"/>
  <c r="P38" i="3"/>
  <c r="P37" i="3"/>
  <c r="P36" i="3"/>
  <c r="P32" i="3"/>
  <c r="P30" i="3"/>
  <c r="P29" i="3"/>
  <c r="O23" i="3"/>
  <c r="N23" i="3"/>
  <c r="P22" i="3"/>
  <c r="P21" i="3"/>
  <c r="P20" i="3"/>
  <c r="P19" i="3"/>
  <c r="P17" i="3"/>
  <c r="P16" i="3"/>
  <c r="P15" i="3"/>
  <c r="N14" i="3"/>
  <c r="N18" i="3" s="1"/>
  <c r="P13" i="3"/>
  <c r="P12" i="3"/>
  <c r="P11" i="3"/>
  <c r="P10" i="3"/>
  <c r="P9" i="3"/>
  <c r="P8" i="3"/>
  <c r="P7" i="3"/>
  <c r="O6" i="3"/>
  <c r="O14" i="3" s="1"/>
  <c r="N6" i="3"/>
  <c r="P5" i="3"/>
  <c r="P4" i="3"/>
  <c r="P68" i="1"/>
  <c r="P64" i="1"/>
  <c r="P62" i="1"/>
  <c r="N61" i="1"/>
  <c r="N65" i="1" s="1"/>
  <c r="P58" i="1"/>
  <c r="P57" i="1"/>
  <c r="O56" i="1"/>
  <c r="O59" i="1" s="1"/>
  <c r="N56" i="1"/>
  <c r="N59" i="1" s="1"/>
  <c r="P55" i="1"/>
  <c r="P54" i="1"/>
  <c r="P46" i="1"/>
  <c r="P45" i="1"/>
  <c r="P44" i="1"/>
  <c r="P38" i="1"/>
  <c r="P37" i="1"/>
  <c r="P36" i="1"/>
  <c r="P35" i="1"/>
  <c r="P34" i="1"/>
  <c r="P33" i="1"/>
  <c r="P32" i="1"/>
  <c r="P31" i="1"/>
  <c r="P30" i="1"/>
  <c r="O29" i="1"/>
  <c r="N29" i="1"/>
  <c r="O26" i="1"/>
  <c r="P26" i="1" s="1"/>
  <c r="P22" i="1"/>
  <c r="P17" i="1"/>
  <c r="P15" i="1"/>
  <c r="P14" i="1"/>
  <c r="P13" i="1"/>
  <c r="P10" i="1"/>
  <c r="P8" i="1"/>
  <c r="P7" i="1"/>
  <c r="O6" i="1"/>
  <c r="N6" i="1"/>
  <c r="N9" i="1" s="1"/>
  <c r="N16" i="1" s="1"/>
  <c r="N18" i="1" s="1"/>
  <c r="N23" i="1" s="1"/>
  <c r="P5" i="1"/>
  <c r="P4" i="1"/>
  <c r="P59" i="1" l="1"/>
  <c r="P6" i="1"/>
  <c r="P38" i="2"/>
  <c r="P40" i="2"/>
  <c r="P25" i="2"/>
  <c r="P12" i="2"/>
  <c r="O16" i="2"/>
  <c r="O33" i="2"/>
  <c r="P33" i="2" s="1"/>
  <c r="P31" i="2"/>
  <c r="P7" i="2"/>
  <c r="P29" i="2"/>
  <c r="N24" i="3"/>
  <c r="P23" i="3"/>
  <c r="P56" i="1"/>
  <c r="P29" i="1"/>
  <c r="P14" i="3"/>
  <c r="O18" i="3"/>
  <c r="P18" i="3" s="1"/>
  <c r="P6" i="3"/>
  <c r="O9" i="1"/>
  <c r="N25" i="1"/>
  <c r="N39" i="1" s="1"/>
  <c r="N48" i="1" s="1"/>
  <c r="N49" i="1" s="1"/>
  <c r="P16" i="2" l="1"/>
  <c r="O18" i="2"/>
  <c r="P18" i="2" s="1"/>
  <c r="O24" i="3"/>
  <c r="P24" i="3" s="1"/>
  <c r="P9" i="1"/>
  <c r="O16" i="1"/>
  <c r="O18" i="1" l="1"/>
  <c r="O25" i="1"/>
  <c r="P16" i="1"/>
  <c r="O39" i="1" l="1"/>
  <c r="P25" i="1"/>
  <c r="P18" i="1"/>
  <c r="O23" i="1"/>
  <c r="P23" i="1" s="1"/>
  <c r="P39" i="1" l="1"/>
  <c r="O48" i="1"/>
  <c r="O49" i="1" l="1"/>
  <c r="P49" i="1" s="1"/>
  <c r="P48" i="1"/>
  <c r="L60" i="3" l="1"/>
  <c r="L59" i="3"/>
  <c r="L57" i="3"/>
  <c r="L56" i="3"/>
  <c r="L54" i="3"/>
  <c r="H53" i="3"/>
  <c r="G53" i="3"/>
  <c r="E53" i="3"/>
  <c r="D53" i="3"/>
  <c r="C53" i="3"/>
  <c r="K53" i="3"/>
  <c r="J53" i="3"/>
  <c r="I53" i="3"/>
  <c r="L49" i="3"/>
  <c r="J48" i="3"/>
  <c r="H48" i="3"/>
  <c r="G48" i="3"/>
  <c r="E48" i="3"/>
  <c r="D48" i="3"/>
  <c r="C48" i="3"/>
  <c r="L47" i="3"/>
  <c r="L46" i="3"/>
  <c r="K48" i="3"/>
  <c r="L48" i="3" s="1"/>
  <c r="I48" i="3"/>
  <c r="L44" i="3"/>
  <c r="H43" i="3"/>
  <c r="G43" i="3"/>
  <c r="E43" i="3"/>
  <c r="D43" i="3"/>
  <c r="C43" i="3"/>
  <c r="L42" i="3"/>
  <c r="L41" i="3"/>
  <c r="K43" i="3"/>
  <c r="J43" i="3"/>
  <c r="I43" i="3"/>
  <c r="H39" i="3"/>
  <c r="G39" i="3"/>
  <c r="F39" i="3"/>
  <c r="E39" i="3"/>
  <c r="D39" i="3"/>
  <c r="C39" i="3"/>
  <c r="K39" i="3"/>
  <c r="J39" i="3"/>
  <c r="L37" i="3"/>
  <c r="L36" i="3"/>
  <c r="K34" i="3"/>
  <c r="L32" i="3"/>
  <c r="L30" i="3"/>
  <c r="L29" i="3"/>
  <c r="I28" i="3"/>
  <c r="H28" i="3"/>
  <c r="G28" i="3"/>
  <c r="F28" i="3"/>
  <c r="E28" i="3"/>
  <c r="D28" i="3"/>
  <c r="L27" i="3"/>
  <c r="L22" i="3"/>
  <c r="L21" i="3"/>
  <c r="L20" i="3"/>
  <c r="K23" i="3"/>
  <c r="L19" i="3"/>
  <c r="I23" i="3"/>
  <c r="L17" i="3"/>
  <c r="L16" i="3"/>
  <c r="L15" i="3"/>
  <c r="L13" i="3"/>
  <c r="L12" i="3"/>
  <c r="L11" i="3"/>
  <c r="L10" i="3"/>
  <c r="L9" i="3"/>
  <c r="L8" i="3"/>
  <c r="L7" i="3"/>
  <c r="I6" i="3"/>
  <c r="K6" i="3"/>
  <c r="J6" i="3"/>
  <c r="L5" i="3"/>
  <c r="I30" i="3"/>
  <c r="L4" i="3"/>
  <c r="J14" i="3"/>
  <c r="J18" i="3" s="1"/>
  <c r="I14" i="3"/>
  <c r="I18" i="3" s="1"/>
  <c r="L3" i="3"/>
  <c r="L56" i="2"/>
  <c r="L55" i="2"/>
  <c r="L53" i="2"/>
  <c r="L52" i="2"/>
  <c r="L50" i="2"/>
  <c r="L49" i="2"/>
  <c r="L47" i="2"/>
  <c r="L46" i="2"/>
  <c r="L45" i="2"/>
  <c r="L44" i="2"/>
  <c r="L43" i="2"/>
  <c r="L42" i="2"/>
  <c r="L41" i="2"/>
  <c r="K40" i="2"/>
  <c r="J40" i="2"/>
  <c r="J38" i="2" s="1"/>
  <c r="I40" i="2"/>
  <c r="I38" i="2" s="1"/>
  <c r="L39" i="2"/>
  <c r="I33" i="2"/>
  <c r="H33" i="2"/>
  <c r="L32" i="2"/>
  <c r="G33" i="2"/>
  <c r="L31" i="2"/>
  <c r="J33" i="2"/>
  <c r="G11" i="2"/>
  <c r="L27" i="2"/>
  <c r="L11" i="2"/>
  <c r="H11" i="2"/>
  <c r="L26" i="2"/>
  <c r="H6" i="2"/>
  <c r="I25" i="2"/>
  <c r="I29" i="2" s="1"/>
  <c r="I30" i="2" s="1"/>
  <c r="H25" i="2"/>
  <c r="H29" i="2" s="1"/>
  <c r="H30" i="2" s="1"/>
  <c r="H15" i="2" s="1"/>
  <c r="G25" i="2"/>
  <c r="G29" i="2" s="1"/>
  <c r="L23" i="2"/>
  <c r="J25" i="2"/>
  <c r="J29" i="2" s="1"/>
  <c r="L17" i="2"/>
  <c r="H17" i="2"/>
  <c r="G17" i="2"/>
  <c r="L15" i="2"/>
  <c r="L14" i="2"/>
  <c r="L13" i="2"/>
  <c r="L10" i="2"/>
  <c r="L9" i="2"/>
  <c r="I7" i="2"/>
  <c r="L8" i="2"/>
  <c r="J7" i="2"/>
  <c r="H8" i="2"/>
  <c r="H7" i="2" s="1"/>
  <c r="G8" i="2"/>
  <c r="G7" i="2" s="1"/>
  <c r="K7" i="2"/>
  <c r="K12" i="2" s="1"/>
  <c r="F7" i="2"/>
  <c r="F12" i="2" s="1"/>
  <c r="F16" i="2" s="1"/>
  <c r="F18" i="2" s="1"/>
  <c r="E7" i="2"/>
  <c r="E12" i="2" s="1"/>
  <c r="E16" i="2" s="1"/>
  <c r="E18" i="2" s="1"/>
  <c r="D7" i="2"/>
  <c r="D12" i="2" s="1"/>
  <c r="D16" i="2" s="1"/>
  <c r="D18" i="2" s="1"/>
  <c r="C7" i="2"/>
  <c r="C12" i="2" s="1"/>
  <c r="C16" i="2" s="1"/>
  <c r="C18" i="2" s="1"/>
  <c r="L6" i="2"/>
  <c r="G6" i="2"/>
  <c r="L4" i="2"/>
  <c r="L3" i="2"/>
  <c r="L22" i="2" s="1"/>
  <c r="L68" i="1"/>
  <c r="L64" i="1"/>
  <c r="K61" i="1"/>
  <c r="I61" i="1"/>
  <c r="F61" i="1"/>
  <c r="L58" i="1"/>
  <c r="L57" i="1"/>
  <c r="I56" i="1"/>
  <c r="I59" i="1" s="1"/>
  <c r="I62" i="1" s="1"/>
  <c r="H56" i="1"/>
  <c r="H59" i="1" s="1"/>
  <c r="G56" i="1"/>
  <c r="G59" i="1" s="1"/>
  <c r="F56" i="1"/>
  <c r="F59" i="1" s="1"/>
  <c r="E56" i="1"/>
  <c r="E59" i="1" s="1"/>
  <c r="D56" i="1"/>
  <c r="D59" i="1" s="1"/>
  <c r="C56" i="1"/>
  <c r="C59" i="1" s="1"/>
  <c r="L55" i="1"/>
  <c r="K56" i="1"/>
  <c r="J56" i="1"/>
  <c r="J59" i="1" s="1"/>
  <c r="J62" i="1" s="1"/>
  <c r="L52" i="1"/>
  <c r="H52" i="1"/>
  <c r="G52" i="1"/>
  <c r="F52" i="1"/>
  <c r="L51" i="1"/>
  <c r="K63" i="1"/>
  <c r="J63" i="1"/>
  <c r="L50" i="1"/>
  <c r="L46" i="1"/>
  <c r="L45" i="1"/>
  <c r="L44" i="1"/>
  <c r="L43" i="1"/>
  <c r="L38" i="1"/>
  <c r="L37" i="1"/>
  <c r="L36" i="1"/>
  <c r="L35" i="1"/>
  <c r="L34" i="1"/>
  <c r="L33" i="1"/>
  <c r="L32" i="1"/>
  <c r="L31" i="1"/>
  <c r="L30" i="1"/>
  <c r="J29" i="1"/>
  <c r="I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L22" i="1"/>
  <c r="L21" i="1"/>
  <c r="C18" i="1"/>
  <c r="C23" i="1" s="1"/>
  <c r="C66" i="1" s="1"/>
  <c r="L17" i="1"/>
  <c r="F16" i="1"/>
  <c r="F18" i="1" s="1"/>
  <c r="F23" i="1" s="1"/>
  <c r="F66" i="1" s="1"/>
  <c r="L15" i="1"/>
  <c r="L14" i="1"/>
  <c r="L13" i="1"/>
  <c r="L10" i="1"/>
  <c r="K26" i="1"/>
  <c r="L26" i="1" s="1"/>
  <c r="H9" i="1"/>
  <c r="H16" i="1" s="1"/>
  <c r="H18" i="1" s="1"/>
  <c r="H23" i="1" s="1"/>
  <c r="H66" i="1" s="1"/>
  <c r="L8" i="1"/>
  <c r="L7" i="1"/>
  <c r="I9" i="1"/>
  <c r="I16" i="1" s="1"/>
  <c r="I6" i="1"/>
  <c r="H6" i="1"/>
  <c r="G6" i="1"/>
  <c r="G9" i="1" s="1"/>
  <c r="G16" i="1" s="1"/>
  <c r="E6" i="1"/>
  <c r="E9" i="1" s="1"/>
  <c r="E16" i="1" s="1"/>
  <c r="E18" i="1" s="1"/>
  <c r="E23" i="1" s="1"/>
  <c r="D6" i="1"/>
  <c r="D9" i="1" s="1"/>
  <c r="D16" i="1" s="1"/>
  <c r="C6" i="1"/>
  <c r="C9" i="1" s="1"/>
  <c r="K6" i="1"/>
  <c r="J6" i="1"/>
  <c r="J9" i="1" s="1"/>
  <c r="J16" i="1" s="1"/>
  <c r="L34" i="3" l="1"/>
  <c r="O34" i="3"/>
  <c r="P34" i="3" s="1"/>
  <c r="C39" i="1"/>
  <c r="C48" i="1" s="1"/>
  <c r="C49" i="1" s="1"/>
  <c r="L6" i="3"/>
  <c r="L39" i="3"/>
  <c r="L40" i="2"/>
  <c r="L37" i="2"/>
  <c r="K38" i="2"/>
  <c r="L38" i="2" s="1"/>
  <c r="K16" i="2"/>
  <c r="G30" i="2"/>
  <c r="G15" i="2" s="1"/>
  <c r="J25" i="1"/>
  <c r="J39" i="1" s="1"/>
  <c r="J48" i="1" s="1"/>
  <c r="J49" i="1" s="1"/>
  <c r="J18" i="1"/>
  <c r="J23" i="1" s="1"/>
  <c r="J66" i="1" s="1"/>
  <c r="L56" i="1"/>
  <c r="K59" i="1"/>
  <c r="G12" i="2"/>
  <c r="L7" i="2"/>
  <c r="I18" i="1"/>
  <c r="I23" i="1" s="1"/>
  <c r="I66" i="1" s="1"/>
  <c r="I25" i="1"/>
  <c r="I39" i="1" s="1"/>
  <c r="I48" i="1" s="1"/>
  <c r="I49" i="1" s="1"/>
  <c r="L6" i="1"/>
  <c r="K9" i="1"/>
  <c r="G18" i="1"/>
  <c r="G23" i="1" s="1"/>
  <c r="G66" i="1" s="1"/>
  <c r="G25" i="1"/>
  <c r="G39" i="1" s="1"/>
  <c r="G48" i="1" s="1"/>
  <c r="G49" i="1" s="1"/>
  <c r="I12" i="2"/>
  <c r="I16" i="2" s="1"/>
  <c r="I18" i="2" s="1"/>
  <c r="J12" i="2"/>
  <c r="J16" i="2" s="1"/>
  <c r="J18" i="2" s="1"/>
  <c r="I24" i="3"/>
  <c r="L43" i="3"/>
  <c r="D18" i="1"/>
  <c r="D23" i="1" s="1"/>
  <c r="D66" i="1" s="1"/>
  <c r="D25" i="1"/>
  <c r="D39" i="1" s="1"/>
  <c r="D48" i="1" s="1"/>
  <c r="D49" i="1" s="1"/>
  <c r="L63" i="1"/>
  <c r="H12" i="2"/>
  <c r="H16" i="2" s="1"/>
  <c r="H18" i="2" s="1"/>
  <c r="L23" i="3"/>
  <c r="I33" i="3"/>
  <c r="J28" i="3" s="1"/>
  <c r="J33" i="3" s="1"/>
  <c r="L53" i="3"/>
  <c r="J23" i="3"/>
  <c r="J24" i="3" s="1"/>
  <c r="J61" i="1"/>
  <c r="L61" i="1" s="1"/>
  <c r="L5" i="2"/>
  <c r="I29" i="3"/>
  <c r="I38" i="3" s="1"/>
  <c r="I39" i="3" s="1"/>
  <c r="L4" i="1"/>
  <c r="K29" i="1"/>
  <c r="L29" i="1" s="1"/>
  <c r="L54" i="1"/>
  <c r="K33" i="2"/>
  <c r="L33" i="2" s="1"/>
  <c r="L38" i="3"/>
  <c r="L51" i="3"/>
  <c r="E25" i="1"/>
  <c r="E39" i="1" s="1"/>
  <c r="E48" i="1" s="1"/>
  <c r="E49" i="1" s="1"/>
  <c r="F25" i="1"/>
  <c r="F39" i="1" s="1"/>
  <c r="F48" i="1" s="1"/>
  <c r="F49" i="1" s="1"/>
  <c r="L24" i="2"/>
  <c r="L28" i="2"/>
  <c r="H25" i="1"/>
  <c r="H39" i="1" s="1"/>
  <c r="H48" i="1" s="1"/>
  <c r="H49" i="1" s="1"/>
  <c r="L5" i="1"/>
  <c r="K14" i="3"/>
  <c r="L52" i="3"/>
  <c r="K28" i="3" l="1"/>
  <c r="N28" i="3"/>
  <c r="N33" i="3" s="1"/>
  <c r="L16" i="2"/>
  <c r="K18" i="2"/>
  <c r="L18" i="2" s="1"/>
  <c r="L12" i="2"/>
  <c r="G16" i="2"/>
  <c r="G18" i="2" s="1"/>
  <c r="K25" i="2"/>
  <c r="I50" i="1"/>
  <c r="L59" i="1"/>
  <c r="K62" i="1"/>
  <c r="K33" i="3"/>
  <c r="L28" i="3"/>
  <c r="L14" i="3"/>
  <c r="K18" i="3"/>
  <c r="K16" i="1"/>
  <c r="L9" i="1"/>
  <c r="L33" i="3" l="1"/>
  <c r="O28" i="3"/>
  <c r="L25" i="2"/>
  <c r="K29" i="2"/>
  <c r="L18" i="3"/>
  <c r="K24" i="3"/>
  <c r="L24" i="3" s="1"/>
  <c r="L62" i="1"/>
  <c r="K65" i="1"/>
  <c r="O61" i="1" s="1"/>
  <c r="L16" i="1"/>
  <c r="K18" i="1"/>
  <c r="K25" i="1"/>
  <c r="P61" i="1" l="1"/>
  <c r="O65" i="1"/>
  <c r="P65" i="1" s="1"/>
  <c r="O33" i="3"/>
  <c r="P33" i="3" s="1"/>
  <c r="P28" i="3"/>
  <c r="K39" i="1"/>
  <c r="L25" i="1"/>
  <c r="K23" i="1"/>
  <c r="L23" i="1" s="1"/>
  <c r="L18" i="1"/>
  <c r="L65" i="1"/>
  <c r="L29" i="2"/>
  <c r="K30" i="2"/>
  <c r="L30" i="2" s="1"/>
  <c r="K66" i="1" l="1"/>
  <c r="L66" i="1" s="1"/>
  <c r="K48" i="1"/>
  <c r="L39" i="1"/>
  <c r="K49" i="1" l="1"/>
  <c r="L49" i="1" s="1"/>
  <c r="L48" i="1"/>
</calcChain>
</file>

<file path=xl/sharedStrings.xml><?xml version="1.0" encoding="utf-8"?>
<sst xmlns="http://schemas.openxmlformats.org/spreadsheetml/2006/main" count="476" uniqueCount="130">
  <si>
    <t>21-22</t>
  </si>
  <si>
    <t>-</t>
  </si>
  <si>
    <t xml:space="preserve">Konsolide </t>
  </si>
  <si>
    <t>Finansal Tablolar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</si>
  <si>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</si>
  <si>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</si>
  <si>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</si>
  <si>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</si>
  <si>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</si>
  <si>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</si>
  <si>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</si>
  <si>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</si>
  <si>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</si>
  <si>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Depozitolardan kaynaklanan değerleme farkına ilişkin düzeltmeler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</si>
  <si>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</si>
  <si>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</si>
  <si>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</si>
  <si>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</si>
  <si>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</si>
  <si>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</si>
  <si>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</si>
  <si>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</si>
  <si>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</si>
  <si>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</si>
  <si>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</si>
  <si>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</si>
  <si>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Ağırlıklı ortalama kredi finansman maliyeti (%) - 
Operasyonel kur farkları düzeltilmiş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</si>
  <si>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</si>
  <si>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</si>
  <si>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</si>
  <si>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</si>
  <si>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</si>
  <si>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</si>
  <si>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</si>
  <si>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</si>
  <si>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</si>
  <si>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</si>
  <si>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</si>
  <si>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</si>
  <si>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</si>
  <si>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</si>
  <si>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</si>
  <si>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</si>
  <si>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</si>
  <si>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</si>
  <si>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</si>
  <si>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</si>
  <si>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</si>
  <si>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</si>
  <si>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</si>
  <si>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</si>
  <si>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</si>
  <si>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</si>
  <si>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</si>
  <si>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Tarife alacaklarına ilişkin faiz gelirleri ile ilgili düzeltmeler</t>
  </si>
  <si>
    <t>Değişim</t>
  </si>
  <si>
    <t>Perakende</t>
  </si>
  <si>
    <t>Finansallar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</si>
  <si>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</si>
  <si>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</si>
  <si>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</si>
  <si>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</si>
  <si>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</si>
  <si>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</si>
  <si>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</si>
  <si>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</si>
  <si>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</si>
  <si>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Müşteri Çözümleri</t>
  </si>
  <si>
    <t>Brüt kâr (amortisman hariç)</t>
  </si>
  <si>
    <t>Perakende &amp; Müşteri Çözümleri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</si>
  <si>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</si>
  <si>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</si>
  <si>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</si>
  <si>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</si>
  <si>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</si>
  <si>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</si>
  <si>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</si>
  <si>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</si>
  <si>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</si>
  <si>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</si>
  <si>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</si>
  <si>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</si>
  <si>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</si>
  <si>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</si>
  <si>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</si>
  <si>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</si>
  <si>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</si>
  <si>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</si>
  <si>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</si>
  <si>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</si>
  <si>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</si>
  <si>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</si>
  <si>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</si>
  <si>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</si>
  <si>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</si>
  <si>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</si>
  <si>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</si>
  <si>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</si>
  <si>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</si>
  <si>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</si>
  <si>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</si>
  <si>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</si>
  <si>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</si>
  <si>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</si>
  <si>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</si>
  <si>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</si>
  <si>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</si>
  <si>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</si>
  <si>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</si>
  <si>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</si>
  <si>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</si>
  <si>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</si>
  <si>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</si>
  <si>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</si>
  <si>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</si>
  <si>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</si>
  <si>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</si>
  <si>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</si>
  <si>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</si>
  <si>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</si>
  <si>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</si>
  <si>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</si>
  <si>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</si>
  <si>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</si>
  <si>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a.d.</t>
  </si>
  <si>
    <t>Vergi oranı değişikliği</t>
  </si>
  <si>
    <t>Duran varlık yeniden değerleme etkisi</t>
  </si>
  <si>
    <t>22-23</t>
  </si>
  <si>
    <t>1Ç</t>
  </si>
  <si>
    <t>Operasyonel kur farkından kaynaklanan giderlere ilişkin düzeltmeler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</si>
</sst>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00"/>
    <numFmt numFmtId="167" formatCode="%0.0"/>
    <numFmt numFmtId="168" formatCode="%0.00"/>
    <numFmt numFmtId="169" formatCode="%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3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4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3" fontId="5" fillId="0" borderId="0" xfId="1" applyNumberFormat="1" applyFont="1" applyFill="1" applyAlignment="1"/>
    <xf numFmtId="0" fontId="4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10" fontId="0" fillId="0" borderId="2" xfId="1" applyNumberFormat="1" applyFont="1" applyFill="1" applyBorder="1" applyAlignment="1"/>
    <xf numFmtId="164" fontId="4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4" fillId="2" borderId="2" xfId="0" applyNumberFormat="1" applyFont="1" applyFill="1" applyBorder="1" applyAlignment="1"/>
    <xf numFmtId="164" fontId="0" fillId="0" borderId="2" xfId="1" applyNumberFormat="1" applyFont="1" applyFill="1" applyBorder="1" applyAlignment="1"/>
    <xf numFmtId="165" fontId="0" fillId="0" borderId="2" xfId="0" applyNumberFormat="1" applyFill="1" applyBorder="1" applyAlignment="1"/>
    <xf numFmtId="3" fontId="0" fillId="0" borderId="0" xfId="0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 applyAlignment="1"/>
    <xf numFmtId="3" fontId="0" fillId="0" borderId="0" xfId="0" applyNumberFormat="1" applyAlignment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167" fontId="0" fillId="0" borderId="2" xfId="0" applyNumberFormat="1" applyFont="1" applyFill="1" applyBorder="1" applyAlignment="1">
      <alignment horizontal="right" indent="1"/>
    </xf>
    <xf numFmtId="167" fontId="0" fillId="0" borderId="2" xfId="1" applyNumberFormat="1" applyFont="1" applyFill="1" applyBorder="1" applyAlignment="1">
      <alignment horizontal="right" indent="1"/>
    </xf>
    <xf numFmtId="168" fontId="0" fillId="0" borderId="2" xfId="1" applyNumberFormat="1" applyFont="1" applyFill="1" applyBorder="1" applyAlignment="1">
      <alignment horizontal="right" indent="1"/>
    </xf>
    <xf numFmtId="167" fontId="3" fillId="2" borderId="2" xfId="1" applyNumberFormat="1" applyFont="1" applyFill="1" applyBorder="1" applyAlignment="1">
      <alignment horizontal="right"/>
    </xf>
    <xf numFmtId="167" fontId="0" fillId="0" borderId="2" xfId="1" applyNumberFormat="1" applyFont="1" applyFill="1" applyBorder="1" applyAlignment="1">
      <alignment horizontal="right"/>
    </xf>
    <xf numFmtId="167" fontId="0" fillId="0" borderId="2" xfId="1" applyNumberFormat="1" applyFont="1" applyFill="1" applyBorder="1" applyAlignment="1"/>
    <xf numFmtId="169" fontId="0" fillId="0" borderId="2" xfId="1" applyNumberFormat="1" applyFont="1" applyFill="1" applyBorder="1" applyAlignment="1"/>
    <xf numFmtId="168" fontId="0" fillId="0" borderId="2" xfId="1" applyNumberFormat="1" applyFont="1" applyFill="1" applyBorder="1" applyAlignment="1"/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showGridLines="0" tabSelected="1" zoomScale="80" zoomScaleNormal="80" workbookViewId="0">
      <pane xSplit="2" ySplit="3" topLeftCell="J4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ColWidth="8.90625" defaultRowHeight="14.5" x14ac:dyDescent="0.35"/>
  <cols>
    <col min="1" max="1" width="8.453125" customWidth="1"/>
    <col min="2" max="2" width="64.7265625" bestFit="1" customWidth="1"/>
    <col min="3" max="5" width="10.6328125" customWidth="1"/>
    <col min="6" max="6" width="13" customWidth="1"/>
    <col min="7" max="7" width="11.453125" customWidth="1"/>
    <col min="8" max="8" width="13" customWidth="1"/>
    <col min="9" max="10" width="13" bestFit="1" customWidth="1"/>
    <col min="11" max="11" width="13" customWidth="1"/>
    <col min="12" max="12" width="11.453125" bestFit="1" customWidth="1"/>
    <col min="13" max="13" width="2.90625" style="3" customWidth="1"/>
    <col min="14" max="15" width="13" customWidth="1"/>
    <col min="16" max="16" width="11.453125" bestFit="1" customWidth="1"/>
  </cols>
  <sheetData>
    <row r="1" spans="1:26" x14ac:dyDescent="0.35">
      <c r="C1" s="1"/>
      <c r="D1" s="1"/>
      <c r="E1" s="1"/>
      <c r="F1" s="2"/>
      <c r="G1" s="2"/>
      <c r="H1" s="2"/>
      <c r="L1" s="2"/>
      <c r="P1" s="2"/>
    </row>
    <row r="2" spans="1:26" x14ac:dyDescent="0.35"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 t="s">
        <v>55</v>
      </c>
      <c r="M2" s="6"/>
      <c r="N2" s="5" t="s">
        <v>128</v>
      </c>
      <c r="O2" s="5" t="s">
        <v>128</v>
      </c>
      <c r="P2" s="5" t="s">
        <v>55</v>
      </c>
    </row>
    <row r="3" spans="1:26" ht="15" thickBot="1" x14ac:dyDescent="0.4">
      <c r="B3" s="7" t="s">
        <v>3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>
        <v>2022</v>
      </c>
      <c r="L3" s="9" t="s">
        <v>0</v>
      </c>
      <c r="M3" s="6"/>
      <c r="N3" s="8">
        <v>2022</v>
      </c>
      <c r="O3" s="8">
        <v>2023</v>
      </c>
      <c r="P3" s="9" t="s">
        <v>127</v>
      </c>
    </row>
    <row r="4" spans="1:26" x14ac:dyDescent="0.35">
      <c r="B4" s="10" t="s">
        <v>4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v>32994</v>
      </c>
      <c r="K4" s="11">
        <v>84449</v>
      </c>
      <c r="L4" s="11">
        <f>K4-J4</f>
        <v>51455</v>
      </c>
      <c r="N4" s="11">
        <v>17910</v>
      </c>
      <c r="O4" s="11">
        <v>28641</v>
      </c>
      <c r="P4" s="11">
        <f>O4-N4</f>
        <v>10731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B5" s="10" t="s">
        <v>5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v>-24712</v>
      </c>
      <c r="K5" s="11">
        <v>-68621</v>
      </c>
      <c r="L5" s="11">
        <f t="shared" ref="L5:L68" si="0">K5-J5</f>
        <v>-43909</v>
      </c>
      <c r="N5" s="11">
        <v>-15191</v>
      </c>
      <c r="O5" s="11">
        <v>-22927</v>
      </c>
      <c r="P5" s="11">
        <f t="shared" ref="P5:P10" si="1">O5-N5</f>
        <v>-7736</v>
      </c>
      <c r="Q5" s="1"/>
      <c r="R5" s="1"/>
      <c r="S5" s="1"/>
      <c r="T5" s="1"/>
      <c r="U5" s="1"/>
      <c r="V5" s="1"/>
      <c r="W5" s="1"/>
      <c r="X5" s="1"/>
    </row>
    <row r="6" spans="1:26" x14ac:dyDescent="0.35">
      <c r="B6" s="12" t="s">
        <v>6</v>
      </c>
      <c r="C6" s="13">
        <f t="shared" ref="C6:E6" si="2">SUM(C4:C5)</f>
        <v>1310.9099999999999</v>
      </c>
      <c r="D6" s="13">
        <f t="shared" si="2"/>
        <v>2045.4939999999997</v>
      </c>
      <c r="E6" s="13">
        <f t="shared" si="2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>SUM(I4:I5)</f>
        <v>5639</v>
      </c>
      <c r="J6" s="13">
        <f>SUM(J4:J5)</f>
        <v>8282</v>
      </c>
      <c r="K6" s="13">
        <f>SUM(K4:K5)</f>
        <v>15828</v>
      </c>
      <c r="L6" s="13">
        <f t="shared" si="0"/>
        <v>7546</v>
      </c>
      <c r="M6" s="14"/>
      <c r="N6" s="13">
        <f>SUM(N4:N5)</f>
        <v>2719</v>
      </c>
      <c r="O6" s="13">
        <f>SUM(O4:O5)</f>
        <v>5714</v>
      </c>
      <c r="P6" s="13">
        <f t="shared" si="1"/>
        <v>2995</v>
      </c>
      <c r="Q6" s="1"/>
      <c r="R6" s="1"/>
      <c r="S6" s="1"/>
      <c r="T6" s="1"/>
      <c r="U6" s="1"/>
      <c r="V6" s="1"/>
      <c r="W6" s="1"/>
      <c r="X6" s="1"/>
    </row>
    <row r="7" spans="1:26" x14ac:dyDescent="0.35">
      <c r="B7" s="10" t="s">
        <v>7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v>-3383</v>
      </c>
      <c r="K7" s="11">
        <v>-7734</v>
      </c>
      <c r="L7" s="11">
        <f t="shared" si="0"/>
        <v>-4351</v>
      </c>
      <c r="N7" s="11">
        <v>-1320</v>
      </c>
      <c r="O7" s="11">
        <v>-3684</v>
      </c>
      <c r="P7" s="11">
        <f t="shared" si="1"/>
        <v>-2364</v>
      </c>
      <c r="Q7" s="1"/>
      <c r="R7" s="1"/>
      <c r="S7" s="1"/>
      <c r="T7" s="1"/>
      <c r="U7" s="1"/>
      <c r="V7" s="1"/>
      <c r="W7" s="1"/>
      <c r="X7" s="1"/>
    </row>
    <row r="8" spans="1:26" x14ac:dyDescent="0.35">
      <c r="B8" s="10" t="s">
        <v>8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v>-385</v>
      </c>
      <c r="K8" s="11">
        <v>254</v>
      </c>
      <c r="L8" s="11">
        <f t="shared" si="0"/>
        <v>639</v>
      </c>
      <c r="N8" s="11">
        <v>-345</v>
      </c>
      <c r="O8" s="11">
        <v>-771</v>
      </c>
      <c r="P8" s="11">
        <f t="shared" si="1"/>
        <v>-426</v>
      </c>
      <c r="Q8" s="1"/>
      <c r="R8" s="1"/>
      <c r="S8" s="1"/>
      <c r="T8" s="1"/>
      <c r="U8" s="1"/>
      <c r="V8" s="1"/>
      <c r="W8" s="1"/>
      <c r="X8" s="1"/>
    </row>
    <row r="9" spans="1:26" x14ac:dyDescent="0.35">
      <c r="B9" s="12" t="s">
        <v>9</v>
      </c>
      <c r="C9" s="13">
        <f>SUM(C6:C8)</f>
        <v>307.6099999999999</v>
      </c>
      <c r="D9" s="13">
        <f t="shared" ref="D9:E9" si="3">SUM(D6:D8)</f>
        <v>1038.3039999999996</v>
      </c>
      <c r="E9" s="13">
        <f t="shared" si="3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>SUM(I6:I8)</f>
        <v>2738</v>
      </c>
      <c r="J9" s="13">
        <f>SUM(J6:J8)</f>
        <v>4514</v>
      </c>
      <c r="K9" s="13">
        <f>SUM(K6:K8)</f>
        <v>8348</v>
      </c>
      <c r="L9" s="13">
        <f t="shared" si="0"/>
        <v>3834</v>
      </c>
      <c r="M9" s="14"/>
      <c r="N9" s="13">
        <f>SUM(N6:N8)</f>
        <v>1054</v>
      </c>
      <c r="O9" s="13">
        <f>SUM(O6:O8)</f>
        <v>1259</v>
      </c>
      <c r="P9" s="13">
        <f t="shared" si="1"/>
        <v>205</v>
      </c>
      <c r="Q9" s="1"/>
      <c r="R9" s="1"/>
      <c r="S9" s="1"/>
      <c r="T9" s="1"/>
      <c r="U9" s="1"/>
      <c r="V9" s="1"/>
      <c r="W9" s="1"/>
      <c r="X9" s="1"/>
    </row>
    <row r="10" spans="1:26" x14ac:dyDescent="0.35">
      <c r="B10" s="10" t="s">
        <v>10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v>473</v>
      </c>
      <c r="K10" s="11">
        <v>569</v>
      </c>
      <c r="L10" s="11">
        <f t="shared" si="0"/>
        <v>96</v>
      </c>
      <c r="N10" s="11">
        <v>127</v>
      </c>
      <c r="O10" s="11">
        <v>157</v>
      </c>
      <c r="P10" s="11">
        <f t="shared" si="1"/>
        <v>30</v>
      </c>
      <c r="Q10" s="1"/>
      <c r="R10" s="1"/>
      <c r="S10" s="1"/>
      <c r="T10" s="1"/>
      <c r="U10" s="1"/>
      <c r="V10" s="1"/>
      <c r="W10" s="1"/>
      <c r="X10" s="1"/>
    </row>
    <row r="11" spans="1:26" x14ac:dyDescent="0.35">
      <c r="B11" s="10" t="s">
        <v>11</v>
      </c>
      <c r="C11" s="15" t="s">
        <v>1</v>
      </c>
      <c r="D11" s="15" t="s">
        <v>1</v>
      </c>
      <c r="E11" s="15" t="s">
        <v>1</v>
      </c>
      <c r="F11" s="15" t="s">
        <v>1</v>
      </c>
      <c r="G11" s="11">
        <v>753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N11" s="11" t="s">
        <v>1</v>
      </c>
      <c r="O11" s="11" t="s">
        <v>1</v>
      </c>
      <c r="P11" s="11" t="s">
        <v>1</v>
      </c>
      <c r="Q11" s="1"/>
      <c r="R11" s="1"/>
      <c r="S11" s="1"/>
      <c r="T11" s="1"/>
      <c r="U11" s="1"/>
      <c r="V11" s="1"/>
      <c r="W11" s="1"/>
      <c r="X11" s="1"/>
    </row>
    <row r="12" spans="1:26" x14ac:dyDescent="0.35">
      <c r="B12" s="10" t="s">
        <v>12</v>
      </c>
      <c r="C12" s="11">
        <v>16</v>
      </c>
      <c r="D12" s="11">
        <v>-60</v>
      </c>
      <c r="E12" s="11">
        <v>-16</v>
      </c>
      <c r="F12" s="15" t="s">
        <v>1</v>
      </c>
      <c r="G12" s="15" t="s">
        <v>1</v>
      </c>
      <c r="H12" s="15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N12" s="11" t="s">
        <v>1</v>
      </c>
      <c r="O12" s="11" t="s">
        <v>1</v>
      </c>
      <c r="P12" s="11" t="s">
        <v>1</v>
      </c>
      <c r="Q12" s="1"/>
      <c r="R12" s="1"/>
      <c r="S12" s="1"/>
      <c r="T12" s="1"/>
      <c r="U12" s="1"/>
      <c r="V12" s="1"/>
      <c r="W12" s="1"/>
      <c r="X12" s="1"/>
    </row>
    <row r="13" spans="1:26" x14ac:dyDescent="0.35">
      <c r="B13" s="10" t="s">
        <v>129</v>
      </c>
      <c r="C13" s="15" t="s">
        <v>1</v>
      </c>
      <c r="D13" s="15" t="s">
        <v>1</v>
      </c>
      <c r="E13" s="15" t="s">
        <v>1</v>
      </c>
      <c r="F13" s="15" t="s">
        <v>1</v>
      </c>
      <c r="G13" s="15">
        <v>44</v>
      </c>
      <c r="H13" s="15">
        <v>4</v>
      </c>
      <c r="I13" s="11">
        <v>28</v>
      </c>
      <c r="J13" s="11">
        <v>262</v>
      </c>
      <c r="K13" s="11">
        <v>274</v>
      </c>
      <c r="L13" s="11">
        <f t="shared" si="0"/>
        <v>12</v>
      </c>
      <c r="N13" s="11">
        <v>49</v>
      </c>
      <c r="O13" s="11">
        <v>27.079000000000001</v>
      </c>
      <c r="P13" s="11">
        <f t="shared" ref="P13:P18" si="4">O13-N13</f>
        <v>-21.920999999999999</v>
      </c>
      <c r="Q13" s="1"/>
      <c r="R13" s="1"/>
      <c r="S13" s="1"/>
      <c r="T13" s="1"/>
      <c r="U13" s="1"/>
      <c r="V13" s="1"/>
      <c r="W13" s="1"/>
      <c r="X13" s="1"/>
    </row>
    <row r="14" spans="1:26" x14ac:dyDescent="0.35">
      <c r="B14" s="10" t="s">
        <v>13</v>
      </c>
      <c r="C14" s="11">
        <v>43</v>
      </c>
      <c r="D14" s="11">
        <v>36</v>
      </c>
      <c r="E14" s="11">
        <v>40</v>
      </c>
      <c r="F14" s="11">
        <v>79</v>
      </c>
      <c r="G14" s="15">
        <v>243</v>
      </c>
      <c r="H14" s="15">
        <v>114</v>
      </c>
      <c r="I14" s="11">
        <v>162</v>
      </c>
      <c r="J14" s="11">
        <v>306</v>
      </c>
      <c r="K14" s="11">
        <v>1681</v>
      </c>
      <c r="L14" s="11">
        <f t="shared" si="0"/>
        <v>1375</v>
      </c>
      <c r="N14" s="11">
        <v>583</v>
      </c>
      <c r="O14" s="11">
        <v>422</v>
      </c>
      <c r="P14" s="11">
        <f t="shared" si="4"/>
        <v>-161</v>
      </c>
      <c r="Q14" s="1"/>
      <c r="R14" s="1"/>
      <c r="S14" s="1"/>
      <c r="T14" s="1"/>
      <c r="U14" s="1"/>
      <c r="V14" s="1"/>
      <c r="W14" s="1"/>
      <c r="X14" s="1"/>
    </row>
    <row r="15" spans="1:26" x14ac:dyDescent="0.35">
      <c r="A15" s="58"/>
      <c r="B15" s="10" t="s">
        <v>54</v>
      </c>
      <c r="C15" s="11">
        <v>-5</v>
      </c>
      <c r="D15" s="11">
        <v>-2</v>
      </c>
      <c r="E15" s="11">
        <v>-19</v>
      </c>
      <c r="F15" s="11">
        <v>0</v>
      </c>
      <c r="G15" s="15">
        <v>-44</v>
      </c>
      <c r="H15" s="15">
        <v>-186</v>
      </c>
      <c r="I15" s="11">
        <v>-30</v>
      </c>
      <c r="J15" s="11">
        <v>-56</v>
      </c>
      <c r="K15" s="11">
        <v>-1009</v>
      </c>
      <c r="L15" s="11">
        <f t="shared" si="0"/>
        <v>-953</v>
      </c>
      <c r="N15" s="11">
        <v>11</v>
      </c>
      <c r="O15" s="11">
        <v>10</v>
      </c>
      <c r="P15" s="11">
        <f t="shared" si="4"/>
        <v>-1</v>
      </c>
      <c r="Q15" s="1"/>
      <c r="R15" s="1"/>
      <c r="S15" s="1"/>
      <c r="T15" s="1"/>
      <c r="U15" s="1"/>
      <c r="V15" s="1"/>
      <c r="W15" s="1"/>
      <c r="X15" s="1"/>
    </row>
    <row r="16" spans="1:26" x14ac:dyDescent="0.35">
      <c r="B16" s="12" t="s">
        <v>14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K16" si="5">SUM(F9:F15)</f>
        <v>2555</v>
      </c>
      <c r="G16" s="13">
        <f t="shared" si="5"/>
        <v>4065</v>
      </c>
      <c r="H16" s="13">
        <f t="shared" si="5"/>
        <v>3369</v>
      </c>
      <c r="I16" s="13">
        <f t="shared" si="5"/>
        <v>3342</v>
      </c>
      <c r="J16" s="13">
        <f t="shared" si="5"/>
        <v>5499</v>
      </c>
      <c r="K16" s="13">
        <f t="shared" si="5"/>
        <v>9863</v>
      </c>
      <c r="L16" s="13">
        <f t="shared" si="0"/>
        <v>4364</v>
      </c>
      <c r="M16" s="14"/>
      <c r="N16" s="13">
        <f t="shared" ref="N16:O16" si="6">SUM(N9:N15)</f>
        <v>1824</v>
      </c>
      <c r="O16" s="13">
        <f t="shared" si="6"/>
        <v>1875.079</v>
      </c>
      <c r="P16" s="13">
        <f t="shared" si="4"/>
        <v>51.078999999999951</v>
      </c>
      <c r="Q16" s="1"/>
      <c r="R16" s="1"/>
      <c r="S16" s="1"/>
      <c r="T16" s="1"/>
      <c r="U16" s="1"/>
      <c r="V16" s="1"/>
      <c r="W16" s="1"/>
      <c r="X16" s="1"/>
    </row>
    <row r="17" spans="2:24" x14ac:dyDescent="0.35">
      <c r="B17" s="16" t="s">
        <v>15</v>
      </c>
      <c r="C17" s="17">
        <v>210</v>
      </c>
      <c r="D17" s="17">
        <v>200</v>
      </c>
      <c r="E17" s="17">
        <v>443</v>
      </c>
      <c r="F17" s="17">
        <v>592</v>
      </c>
      <c r="G17" s="11">
        <v>798</v>
      </c>
      <c r="H17" s="11">
        <v>1058</v>
      </c>
      <c r="I17" s="11">
        <v>1342</v>
      </c>
      <c r="J17" s="11">
        <v>2101</v>
      </c>
      <c r="K17" s="11">
        <v>4119</v>
      </c>
      <c r="L17" s="17">
        <f t="shared" si="0"/>
        <v>2018</v>
      </c>
      <c r="N17" s="11">
        <v>873</v>
      </c>
      <c r="O17" s="11">
        <v>1695</v>
      </c>
      <c r="P17" s="17">
        <f t="shared" si="4"/>
        <v>822</v>
      </c>
      <c r="Q17" s="1"/>
      <c r="R17" s="1"/>
      <c r="S17" s="1"/>
      <c r="T17" s="1"/>
      <c r="U17" s="1"/>
      <c r="V17" s="1"/>
      <c r="W17" s="1"/>
      <c r="X17" s="1"/>
    </row>
    <row r="18" spans="2:24" x14ac:dyDescent="0.35">
      <c r="B18" s="12" t="s">
        <v>16</v>
      </c>
      <c r="C18" s="13">
        <f>SUM(C16:C17)</f>
        <v>779</v>
      </c>
      <c r="D18" s="13">
        <f t="shared" ref="D18:F18" si="7">SUM(D16:D17)</f>
        <v>1431.7039999999997</v>
      </c>
      <c r="E18" s="13">
        <f t="shared" si="7"/>
        <v>1938.4239999999991</v>
      </c>
      <c r="F18" s="13">
        <f t="shared" si="7"/>
        <v>3147</v>
      </c>
      <c r="G18" s="13">
        <f>SUM(G16:G17)+1</f>
        <v>4864</v>
      </c>
      <c r="H18" s="13">
        <f>SUM(H16:H17)</f>
        <v>4427</v>
      </c>
      <c r="I18" s="13">
        <f>SUM(I16:I17)</f>
        <v>4684</v>
      </c>
      <c r="J18" s="13">
        <f>SUM(J16:J17)</f>
        <v>7600</v>
      </c>
      <c r="K18" s="13">
        <f>SUM(K16:K17)</f>
        <v>13982</v>
      </c>
      <c r="L18" s="13">
        <f t="shared" si="0"/>
        <v>6382</v>
      </c>
      <c r="M18" s="14"/>
      <c r="N18" s="13">
        <f>SUM(N16:N17)</f>
        <v>2697</v>
      </c>
      <c r="O18" s="13">
        <f>SUM(O16:O17)</f>
        <v>3570.0789999999997</v>
      </c>
      <c r="P18" s="13">
        <f t="shared" si="4"/>
        <v>873.07899999999972</v>
      </c>
      <c r="Q18" s="1"/>
      <c r="R18" s="1"/>
      <c r="S18" s="1"/>
      <c r="T18" s="1"/>
      <c r="U18" s="1"/>
      <c r="V18" s="1"/>
      <c r="W18" s="1"/>
      <c r="X18" s="1"/>
    </row>
    <row r="19" spans="2:24" x14ac:dyDescent="0.35">
      <c r="B19" s="16" t="s">
        <v>17</v>
      </c>
      <c r="C19" s="15" t="s">
        <v>1</v>
      </c>
      <c r="D19" s="17">
        <v>-332</v>
      </c>
      <c r="E19" s="15" t="s">
        <v>1</v>
      </c>
      <c r="F19" s="17">
        <v>-467</v>
      </c>
      <c r="G19" s="11">
        <v>-984</v>
      </c>
      <c r="H19" s="11">
        <v>230</v>
      </c>
      <c r="I19" s="11">
        <v>395</v>
      </c>
      <c r="J19" s="11" t="s">
        <v>1</v>
      </c>
      <c r="K19" s="11" t="s">
        <v>1</v>
      </c>
      <c r="L19" s="11" t="s">
        <v>1</v>
      </c>
      <c r="N19" s="11" t="s">
        <v>1</v>
      </c>
      <c r="O19" s="11" t="s">
        <v>1</v>
      </c>
      <c r="P19" s="11" t="s">
        <v>1</v>
      </c>
      <c r="Q19" s="1"/>
      <c r="R19" s="1"/>
      <c r="S19" s="1"/>
      <c r="T19" s="1"/>
      <c r="U19" s="1"/>
      <c r="V19" s="1"/>
      <c r="W19" s="1"/>
      <c r="X19" s="1"/>
    </row>
    <row r="20" spans="2:24" x14ac:dyDescent="0.35">
      <c r="B20" s="16" t="s">
        <v>18</v>
      </c>
      <c r="C20" s="15" t="s">
        <v>1</v>
      </c>
      <c r="D20" s="15" t="s">
        <v>1</v>
      </c>
      <c r="E20" s="15" t="s">
        <v>1</v>
      </c>
      <c r="F20" s="15" t="s">
        <v>1</v>
      </c>
      <c r="G20" s="11">
        <v>107</v>
      </c>
      <c r="H20" s="15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N20" s="11" t="s">
        <v>1</v>
      </c>
      <c r="O20" s="11" t="s">
        <v>1</v>
      </c>
      <c r="P20" s="11" t="s">
        <v>1</v>
      </c>
      <c r="Q20" s="1"/>
      <c r="R20" s="1"/>
      <c r="S20" s="1"/>
      <c r="T20" s="1"/>
      <c r="U20" s="1"/>
      <c r="V20" s="1"/>
      <c r="W20" s="1"/>
      <c r="X20" s="1"/>
    </row>
    <row r="21" spans="2:24" x14ac:dyDescent="0.35">
      <c r="B21" s="16" t="s">
        <v>19</v>
      </c>
      <c r="C21" s="15" t="s">
        <v>1</v>
      </c>
      <c r="D21" s="15" t="s">
        <v>1</v>
      </c>
      <c r="E21" s="15" t="s">
        <v>1</v>
      </c>
      <c r="F21" s="17">
        <v>-115</v>
      </c>
      <c r="G21" s="11">
        <v>-142</v>
      </c>
      <c r="H21" s="11">
        <v>-48</v>
      </c>
      <c r="I21" s="11">
        <v>469</v>
      </c>
      <c r="J21" s="11">
        <v>-12</v>
      </c>
      <c r="K21" s="11">
        <v>51</v>
      </c>
      <c r="L21" s="17">
        <f>-J21</f>
        <v>12</v>
      </c>
      <c r="N21" s="11" t="s">
        <v>1</v>
      </c>
      <c r="O21" s="11" t="s">
        <v>1</v>
      </c>
      <c r="P21" s="17" t="s">
        <v>1</v>
      </c>
      <c r="Q21" s="1"/>
      <c r="R21" s="1"/>
      <c r="S21" s="1"/>
      <c r="T21" s="1"/>
      <c r="U21" s="1"/>
      <c r="V21" s="1"/>
      <c r="W21" s="1"/>
      <c r="X21" s="1"/>
    </row>
    <row r="22" spans="2:24" x14ac:dyDescent="0.35">
      <c r="B22" s="16" t="s">
        <v>20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1">
        <v>60.7</v>
      </c>
      <c r="J22" s="11">
        <v>-94</v>
      </c>
      <c r="K22" s="11">
        <v>1058</v>
      </c>
      <c r="L22" s="17">
        <f t="shared" si="0"/>
        <v>1152</v>
      </c>
      <c r="N22" s="11">
        <v>-22</v>
      </c>
      <c r="O22" s="11">
        <v>194</v>
      </c>
      <c r="P22" s="17">
        <f t="shared" ref="P22:P23" si="8">O22-N22</f>
        <v>216</v>
      </c>
      <c r="Q22" s="1"/>
      <c r="R22" s="1"/>
      <c r="S22" s="1"/>
      <c r="T22" s="1"/>
      <c r="U22" s="1"/>
      <c r="V22" s="1"/>
      <c r="W22" s="1"/>
      <c r="X22" s="1"/>
    </row>
    <row r="23" spans="2:24" x14ac:dyDescent="0.35">
      <c r="B23" s="12" t="s">
        <v>21</v>
      </c>
      <c r="C23" s="13">
        <f t="shared" ref="C23:J23" si="9">SUM(C18:C22)</f>
        <v>779</v>
      </c>
      <c r="D23" s="13">
        <f t="shared" si="9"/>
        <v>1099.7039999999997</v>
      </c>
      <c r="E23" s="13">
        <f t="shared" si="9"/>
        <v>1938.4239999999991</v>
      </c>
      <c r="F23" s="13">
        <f t="shared" si="9"/>
        <v>2565</v>
      </c>
      <c r="G23" s="13">
        <f t="shared" si="9"/>
        <v>3845</v>
      </c>
      <c r="H23" s="13">
        <f t="shared" si="9"/>
        <v>4609</v>
      </c>
      <c r="I23" s="13">
        <f t="shared" si="9"/>
        <v>5608.7</v>
      </c>
      <c r="J23" s="13">
        <f t="shared" si="9"/>
        <v>7494</v>
      </c>
      <c r="K23" s="13">
        <f t="shared" ref="K23" si="10">SUM(K18:K22)</f>
        <v>15091</v>
      </c>
      <c r="L23" s="13">
        <f t="shared" si="0"/>
        <v>7597</v>
      </c>
      <c r="M23" s="14"/>
      <c r="N23" s="13">
        <f t="shared" ref="N23:O23" si="11">SUM(N18:N22)</f>
        <v>2675</v>
      </c>
      <c r="O23" s="13">
        <f t="shared" si="11"/>
        <v>3764.0789999999997</v>
      </c>
      <c r="P23" s="13">
        <f t="shared" si="8"/>
        <v>1089.0789999999997</v>
      </c>
      <c r="Q23" s="1"/>
      <c r="R23" s="1"/>
      <c r="S23" s="1"/>
      <c r="T23" s="1"/>
      <c r="U23" s="1"/>
      <c r="V23" s="1"/>
      <c r="W23" s="1"/>
      <c r="X23" s="1"/>
    </row>
    <row r="24" spans="2:24" x14ac:dyDescent="0.35">
      <c r="B24" s="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O24" s="18"/>
      <c r="P24" s="18"/>
      <c r="Q24" s="1"/>
      <c r="R24" s="1"/>
      <c r="S24" s="1"/>
      <c r="T24" s="1"/>
      <c r="U24" s="1"/>
      <c r="V24" s="1"/>
      <c r="W24" s="1"/>
      <c r="X24" s="1"/>
    </row>
    <row r="25" spans="2:24" x14ac:dyDescent="0.35">
      <c r="B25" s="12" t="s">
        <v>14</v>
      </c>
      <c r="C25" s="13">
        <f t="shared" ref="C25:K25" si="12">C16</f>
        <v>569</v>
      </c>
      <c r="D25" s="13">
        <f t="shared" si="12"/>
        <v>1231.7039999999997</v>
      </c>
      <c r="E25" s="13">
        <f t="shared" si="12"/>
        <v>1495.4239999999991</v>
      </c>
      <c r="F25" s="13">
        <f t="shared" si="12"/>
        <v>2555</v>
      </c>
      <c r="G25" s="13">
        <f t="shared" si="12"/>
        <v>4065</v>
      </c>
      <c r="H25" s="13">
        <f t="shared" si="12"/>
        <v>3369</v>
      </c>
      <c r="I25" s="13">
        <f t="shared" si="12"/>
        <v>3342</v>
      </c>
      <c r="J25" s="13">
        <f t="shared" si="12"/>
        <v>5499</v>
      </c>
      <c r="K25" s="13">
        <f t="shared" si="12"/>
        <v>9863</v>
      </c>
      <c r="L25" s="13">
        <f t="shared" si="0"/>
        <v>4364</v>
      </c>
      <c r="M25" s="14"/>
      <c r="N25" s="13">
        <f t="shared" ref="N25:O25" si="13">N16</f>
        <v>1824</v>
      </c>
      <c r="O25" s="13">
        <f t="shared" si="13"/>
        <v>1875.079</v>
      </c>
      <c r="P25" s="13">
        <f t="shared" ref="P25:P26" si="14">O25-N25</f>
        <v>51.078999999999951</v>
      </c>
      <c r="Q25" s="1"/>
      <c r="R25" s="1"/>
      <c r="S25" s="1"/>
      <c r="T25" s="1"/>
      <c r="U25" s="1"/>
      <c r="V25" s="1"/>
      <c r="W25" s="1"/>
      <c r="X25" s="1"/>
    </row>
    <row r="26" spans="2:24" x14ac:dyDescent="0.35">
      <c r="B26" s="10" t="s">
        <v>22</v>
      </c>
      <c r="C26" s="11">
        <f t="shared" ref="C26:H26" si="15">-C10</f>
        <v>-208.66300000000001</v>
      </c>
      <c r="D26" s="11">
        <f t="shared" si="15"/>
        <v>-219.4</v>
      </c>
      <c r="E26" s="11">
        <f t="shared" si="15"/>
        <v>-218</v>
      </c>
      <c r="F26" s="11">
        <f t="shared" si="15"/>
        <v>-235</v>
      </c>
      <c r="G26" s="11">
        <f t="shared" si="15"/>
        <v>-258</v>
      </c>
      <c r="H26" s="11">
        <f t="shared" si="15"/>
        <v>-373</v>
      </c>
      <c r="I26" s="11">
        <v>-444</v>
      </c>
      <c r="J26" s="11">
        <v>-473</v>
      </c>
      <c r="K26" s="11">
        <f>-K10</f>
        <v>-569</v>
      </c>
      <c r="L26" s="11">
        <f t="shared" si="0"/>
        <v>-96</v>
      </c>
      <c r="N26" s="11">
        <v>-127</v>
      </c>
      <c r="O26" s="11">
        <f>-O10</f>
        <v>-157</v>
      </c>
      <c r="P26" s="11">
        <f t="shared" si="14"/>
        <v>-30</v>
      </c>
      <c r="Q26" s="1"/>
      <c r="R26" s="1"/>
      <c r="S26" s="1"/>
      <c r="T26" s="1"/>
      <c r="U26" s="1"/>
      <c r="V26" s="1"/>
      <c r="W26" s="1"/>
      <c r="X26" s="1"/>
    </row>
    <row r="27" spans="2:24" x14ac:dyDescent="0.35">
      <c r="B27" s="10" t="s">
        <v>11</v>
      </c>
      <c r="C27" s="15" t="s">
        <v>1</v>
      </c>
      <c r="D27" s="15" t="s">
        <v>1</v>
      </c>
      <c r="E27" s="15" t="s">
        <v>1</v>
      </c>
      <c r="F27" s="15" t="s">
        <v>1</v>
      </c>
      <c r="G27" s="11">
        <f>-G11</f>
        <v>-753</v>
      </c>
      <c r="H27" s="15" t="s">
        <v>1</v>
      </c>
      <c r="I27" s="15" t="s">
        <v>1</v>
      </c>
      <c r="J27" s="11" t="s">
        <v>1</v>
      </c>
      <c r="K27" s="11" t="s">
        <v>1</v>
      </c>
      <c r="L27" s="11" t="s">
        <v>1</v>
      </c>
      <c r="N27" s="11" t="s">
        <v>1</v>
      </c>
      <c r="O27" s="11" t="s">
        <v>1</v>
      </c>
      <c r="P27" s="11" t="s">
        <v>1</v>
      </c>
      <c r="Q27" s="1"/>
      <c r="R27" s="1"/>
      <c r="S27" s="1"/>
      <c r="T27" s="1"/>
      <c r="U27" s="1"/>
      <c r="V27" s="1"/>
      <c r="W27" s="1"/>
      <c r="X27" s="1"/>
    </row>
    <row r="28" spans="2:24" x14ac:dyDescent="0.35">
      <c r="B28" s="10" t="s">
        <v>12</v>
      </c>
      <c r="C28" s="11">
        <f>-C12</f>
        <v>-16</v>
      </c>
      <c r="D28" s="11">
        <f>-D12</f>
        <v>60</v>
      </c>
      <c r="E28" s="11">
        <f>-E12</f>
        <v>16</v>
      </c>
      <c r="F28" s="15" t="s">
        <v>1</v>
      </c>
      <c r="G28" s="15" t="s">
        <v>1</v>
      </c>
      <c r="H28" s="15" t="s">
        <v>1</v>
      </c>
      <c r="I28" s="15" t="s">
        <v>1</v>
      </c>
      <c r="J28" s="11" t="s">
        <v>1</v>
      </c>
      <c r="K28" s="11" t="s">
        <v>1</v>
      </c>
      <c r="L28" s="11" t="s">
        <v>1</v>
      </c>
      <c r="N28" s="11" t="s">
        <v>1</v>
      </c>
      <c r="O28" s="11" t="s">
        <v>1</v>
      </c>
      <c r="P28" s="11" t="s">
        <v>1</v>
      </c>
      <c r="Q28" s="1"/>
      <c r="R28" s="1"/>
      <c r="S28" s="1"/>
      <c r="T28" s="1"/>
      <c r="U28" s="1"/>
      <c r="V28" s="1"/>
      <c r="W28" s="1"/>
      <c r="X28" s="1"/>
    </row>
    <row r="29" spans="2:24" x14ac:dyDescent="0.35">
      <c r="B29" s="10" t="s">
        <v>23</v>
      </c>
      <c r="C29" s="11">
        <f t="shared" ref="C29:G29" si="16">C30+C33+C35+C37</f>
        <v>-608.46</v>
      </c>
      <c r="D29" s="11">
        <f t="shared" si="16"/>
        <v>-609.69000000000005</v>
      </c>
      <c r="E29" s="11">
        <f t="shared" si="16"/>
        <v>-779.56</v>
      </c>
      <c r="F29" s="11">
        <f t="shared" si="16"/>
        <v>-1036</v>
      </c>
      <c r="G29" s="11">
        <f t="shared" si="16"/>
        <v>-1732</v>
      </c>
      <c r="H29" s="11">
        <f>H30+H33+H35+H37+H36</f>
        <v>-1604</v>
      </c>
      <c r="I29" s="11">
        <f>I30+I33+I35+I37+I36</f>
        <v>-1485</v>
      </c>
      <c r="J29" s="11">
        <f>J30+J33+J35+J37+J36</f>
        <v>-1883</v>
      </c>
      <c r="K29" s="11">
        <f>K30+K33+K35+K37+K36</f>
        <v>-4847</v>
      </c>
      <c r="L29" s="11">
        <f t="shared" si="0"/>
        <v>-2964</v>
      </c>
      <c r="N29" s="11">
        <f>N30+N33+N35+N37+N36</f>
        <v>-1410</v>
      </c>
      <c r="O29" s="11">
        <f>O30+O33+O35+O37+O36</f>
        <v>-1223</v>
      </c>
      <c r="P29" s="11">
        <f t="shared" ref="P29:P68" si="17">O29-N29</f>
        <v>187</v>
      </c>
      <c r="Q29" s="1"/>
      <c r="R29" s="1"/>
      <c r="S29" s="1"/>
      <c r="T29" s="1"/>
      <c r="U29" s="1"/>
      <c r="V29" s="1"/>
      <c r="W29" s="1"/>
      <c r="X29" s="1"/>
    </row>
    <row r="30" spans="2:24" x14ac:dyDescent="0.35">
      <c r="B30" s="19" t="s">
        <v>24</v>
      </c>
      <c r="C30" s="11">
        <v>-517.46</v>
      </c>
      <c r="D30" s="11">
        <v>-526.69000000000005</v>
      </c>
      <c r="E30" s="11">
        <v>-725.56</v>
      </c>
      <c r="F30" s="11">
        <v>-863</v>
      </c>
      <c r="G30" s="11">
        <v>-1159</v>
      </c>
      <c r="H30" s="11">
        <v>-1375</v>
      </c>
      <c r="I30" s="11">
        <v>-974</v>
      </c>
      <c r="J30" s="11">
        <v>-1219</v>
      </c>
      <c r="K30" s="11">
        <v>-2981</v>
      </c>
      <c r="L30" s="11">
        <f t="shared" si="0"/>
        <v>-1762</v>
      </c>
      <c r="N30" s="11">
        <v>-525</v>
      </c>
      <c r="O30" s="11">
        <v>-226</v>
      </c>
      <c r="P30" s="11">
        <f t="shared" si="17"/>
        <v>299</v>
      </c>
      <c r="Q30" s="1"/>
      <c r="R30" s="1"/>
      <c r="S30" s="1"/>
      <c r="T30" s="1"/>
      <c r="U30" s="1"/>
      <c r="V30" s="1"/>
      <c r="W30" s="1"/>
      <c r="X30" s="1"/>
    </row>
    <row r="31" spans="2:24" x14ac:dyDescent="0.35">
      <c r="B31" s="19" t="s">
        <v>25</v>
      </c>
      <c r="C31" s="80"/>
      <c r="D31" s="81">
        <v>9.7315847766867136E-2</v>
      </c>
      <c r="E31" s="81">
        <v>0.12236587152326026</v>
      </c>
      <c r="F31" s="81">
        <v>0.128</v>
      </c>
      <c r="G31" s="81">
        <v>0.17078241062162658</v>
      </c>
      <c r="H31" s="81">
        <v>0.18125985532402955</v>
      </c>
      <c r="I31" s="81">
        <v>0.11871214887008945</v>
      </c>
      <c r="J31" s="81">
        <v>0.1596249825235474</v>
      </c>
      <c r="K31" s="81">
        <v>0.29513399886116776</v>
      </c>
      <c r="L31" s="81">
        <f t="shared" si="0"/>
        <v>0.13550901633762036</v>
      </c>
      <c r="N31" s="81">
        <v>0.23407467167764587</v>
      </c>
      <c r="O31" s="81">
        <v>0.3245158122455567</v>
      </c>
      <c r="P31" s="81">
        <f t="shared" si="17"/>
        <v>9.0441140567910833E-2</v>
      </c>
      <c r="Q31" s="1"/>
      <c r="R31" s="1"/>
      <c r="S31" s="1"/>
      <c r="T31" s="1"/>
      <c r="U31" s="1"/>
      <c r="V31" s="1"/>
      <c r="W31" s="1"/>
      <c r="X31" s="1"/>
    </row>
    <row r="32" spans="2:24" ht="29" x14ac:dyDescent="0.35">
      <c r="B32" s="20" t="s">
        <v>26</v>
      </c>
      <c r="C32" s="80"/>
      <c r="D32" s="81" t="s">
        <v>1</v>
      </c>
      <c r="E32" s="81" t="s">
        <v>1</v>
      </c>
      <c r="F32" s="81" t="s">
        <v>1</v>
      </c>
      <c r="G32" s="81" t="s">
        <v>1</v>
      </c>
      <c r="H32" s="81" t="s">
        <v>1</v>
      </c>
      <c r="I32" s="81">
        <v>0.11530131077969805</v>
      </c>
      <c r="J32" s="81">
        <v>0.12531674181709176</v>
      </c>
      <c r="K32" s="81">
        <v>0.26793498515062603</v>
      </c>
      <c r="L32" s="81">
        <f t="shared" si="0"/>
        <v>0.14261824333353426</v>
      </c>
      <c r="N32" s="81">
        <v>0.21278296453327625</v>
      </c>
      <c r="O32" s="81">
        <v>0.28480232871732197</v>
      </c>
      <c r="P32" s="81">
        <f t="shared" si="17"/>
        <v>7.2019364184045725E-2</v>
      </c>
      <c r="Q32" s="1"/>
      <c r="R32" s="1"/>
      <c r="S32" s="1"/>
      <c r="T32" s="1"/>
      <c r="U32" s="1"/>
      <c r="V32" s="1"/>
      <c r="W32" s="1"/>
      <c r="X32" s="1"/>
    </row>
    <row r="33" spans="1:24" x14ac:dyDescent="0.35">
      <c r="B33" s="19" t="s">
        <v>27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v>-344</v>
      </c>
      <c r="K33" s="11">
        <v>-1002</v>
      </c>
      <c r="L33" s="11">
        <f t="shared" si="0"/>
        <v>-658</v>
      </c>
      <c r="N33" s="11">
        <v>-340</v>
      </c>
      <c r="O33" s="11">
        <v>-477</v>
      </c>
      <c r="P33" s="11">
        <f t="shared" si="17"/>
        <v>-137</v>
      </c>
      <c r="Q33" s="1"/>
      <c r="R33" s="1"/>
      <c r="S33" s="1"/>
      <c r="T33" s="1"/>
      <c r="U33" s="1"/>
      <c r="V33" s="1"/>
      <c r="W33" s="1"/>
      <c r="X33" s="1"/>
    </row>
    <row r="34" spans="1:24" x14ac:dyDescent="0.35">
      <c r="B34" s="19" t="s">
        <v>28</v>
      </c>
      <c r="C34" s="81"/>
      <c r="D34" s="81">
        <v>0.10271374038139168</v>
      </c>
      <c r="E34" s="81">
        <v>6.7310452411078053E-2</v>
      </c>
      <c r="F34" s="81">
        <v>0.15222580413129241</v>
      </c>
      <c r="G34" s="81">
        <v>0.28209196038237444</v>
      </c>
      <c r="H34" s="81">
        <v>0.12853092515001147</v>
      </c>
      <c r="I34" s="81">
        <v>0.16164531217233705</v>
      </c>
      <c r="J34" s="81">
        <v>0.21313576905767162</v>
      </c>
      <c r="K34" s="81">
        <v>0.35914472775165207</v>
      </c>
      <c r="L34" s="81">
        <f t="shared" si="0"/>
        <v>0.14600895869398045</v>
      </c>
      <c r="N34" s="81">
        <v>0.6009756718799194</v>
      </c>
      <c r="O34" s="81">
        <v>0.27943266978315806</v>
      </c>
      <c r="P34" s="81">
        <f t="shared" si="17"/>
        <v>-0.32154300209676134</v>
      </c>
      <c r="Q34" s="1"/>
      <c r="R34" s="1"/>
      <c r="S34" s="1"/>
      <c r="T34" s="1"/>
      <c r="U34" s="1"/>
      <c r="V34" s="1"/>
      <c r="W34" s="1"/>
      <c r="X34" s="1"/>
    </row>
    <row r="35" spans="1:24" x14ac:dyDescent="0.35">
      <c r="B35" s="19" t="s">
        <v>29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v>-306</v>
      </c>
      <c r="K35" s="11">
        <v>-1681</v>
      </c>
      <c r="L35" s="11">
        <f t="shared" si="0"/>
        <v>-1375</v>
      </c>
      <c r="N35" s="11">
        <v>-583</v>
      </c>
      <c r="O35" s="11">
        <v>-422</v>
      </c>
      <c r="P35" s="11">
        <f t="shared" si="17"/>
        <v>161</v>
      </c>
      <c r="Q35" s="1"/>
      <c r="R35" s="1"/>
      <c r="S35" s="1"/>
      <c r="T35" s="1"/>
      <c r="U35" s="1"/>
      <c r="V35" s="1"/>
      <c r="W35" s="1"/>
      <c r="X35" s="1"/>
    </row>
    <row r="36" spans="1:24" x14ac:dyDescent="0.35">
      <c r="B36" s="19" t="s">
        <v>30</v>
      </c>
      <c r="C36" s="15" t="s">
        <v>1</v>
      </c>
      <c r="D36" s="15" t="s">
        <v>1</v>
      </c>
      <c r="E36" s="15" t="s">
        <v>1</v>
      </c>
      <c r="F36" s="15" t="s">
        <v>1</v>
      </c>
      <c r="G36" s="15" t="s">
        <v>1</v>
      </c>
      <c r="H36" s="15">
        <v>-36</v>
      </c>
      <c r="I36" s="15">
        <v>-31</v>
      </c>
      <c r="J36" s="11">
        <v>-45</v>
      </c>
      <c r="K36" s="11">
        <v>-74</v>
      </c>
      <c r="L36" s="11">
        <f t="shared" si="0"/>
        <v>-29</v>
      </c>
      <c r="N36" s="11">
        <v>-13</v>
      </c>
      <c r="O36" s="11">
        <v>-26</v>
      </c>
      <c r="P36" s="11">
        <f t="shared" si="17"/>
        <v>-13</v>
      </c>
      <c r="Q36" s="1"/>
      <c r="R36" s="1"/>
      <c r="S36" s="1"/>
      <c r="T36" s="1"/>
      <c r="U36" s="1"/>
      <c r="V36" s="1"/>
      <c r="W36" s="1"/>
      <c r="X36" s="1"/>
    </row>
    <row r="37" spans="1:24" x14ac:dyDescent="0.35">
      <c r="B37" s="19" t="s">
        <v>31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v>31</v>
      </c>
      <c r="K37" s="11">
        <v>891</v>
      </c>
      <c r="L37" s="11">
        <f t="shared" si="0"/>
        <v>860</v>
      </c>
      <c r="N37" s="11">
        <v>51</v>
      </c>
      <c r="O37" s="11">
        <v>-72</v>
      </c>
      <c r="P37" s="11">
        <f t="shared" si="17"/>
        <v>-123</v>
      </c>
      <c r="Q37" s="1"/>
      <c r="R37" s="1"/>
      <c r="S37" s="1"/>
      <c r="T37" s="1"/>
      <c r="U37" s="1"/>
      <c r="V37" s="1"/>
      <c r="W37" s="1"/>
      <c r="X37" s="1"/>
    </row>
    <row r="38" spans="1:24" x14ac:dyDescent="0.35">
      <c r="B38" s="10" t="s">
        <v>32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v>-861</v>
      </c>
      <c r="K38" s="11">
        <v>10051</v>
      </c>
      <c r="L38" s="11">
        <f t="shared" si="0"/>
        <v>10912</v>
      </c>
      <c r="N38" s="11">
        <v>-94</v>
      </c>
      <c r="O38" s="11">
        <v>-125</v>
      </c>
      <c r="P38" s="11">
        <f t="shared" si="17"/>
        <v>-31</v>
      </c>
      <c r="Q38" s="1"/>
      <c r="R38" s="1"/>
      <c r="S38" s="1"/>
      <c r="T38" s="1"/>
      <c r="U38" s="1"/>
      <c r="V38" s="1"/>
      <c r="W38" s="1"/>
      <c r="X38" s="1"/>
    </row>
    <row r="39" spans="1:24" x14ac:dyDescent="0.35">
      <c r="B39" s="12" t="s">
        <v>33</v>
      </c>
      <c r="C39" s="13">
        <f t="shared" ref="C39:H39" si="18">SUM(C25:C29,C38)</f>
        <v>-277.12300000000005</v>
      </c>
      <c r="D39" s="13">
        <f t="shared" si="18"/>
        <v>335.61399999999958</v>
      </c>
      <c r="E39" s="13">
        <f t="shared" si="18"/>
        <v>376.86399999999912</v>
      </c>
      <c r="F39" s="13">
        <f t="shared" si="18"/>
        <v>988</v>
      </c>
      <c r="G39" s="13">
        <f t="shared" si="18"/>
        <v>748</v>
      </c>
      <c r="H39" s="13">
        <f t="shared" si="18"/>
        <v>1034</v>
      </c>
      <c r="I39" s="13">
        <f>SUM(I25:I29,I38)</f>
        <v>1088</v>
      </c>
      <c r="J39" s="13">
        <f>SUM(J25:J29,J38)</f>
        <v>2282</v>
      </c>
      <c r="K39" s="13">
        <f>SUM(K25:K29,K38)</f>
        <v>14498</v>
      </c>
      <c r="L39" s="13">
        <f t="shared" si="0"/>
        <v>12216</v>
      </c>
      <c r="M39" s="14"/>
      <c r="N39" s="13">
        <f>SUM(N25:N29,N38)</f>
        <v>193</v>
      </c>
      <c r="O39" s="13">
        <f>SUM(O25:O29,O38)</f>
        <v>370.07899999999995</v>
      </c>
      <c r="P39" s="13">
        <f t="shared" si="17"/>
        <v>177.07899999999995</v>
      </c>
      <c r="Q39" s="1"/>
      <c r="R39" s="1"/>
      <c r="S39" s="1"/>
      <c r="T39" s="1"/>
      <c r="U39" s="1"/>
      <c r="V39" s="1"/>
      <c r="W39" s="1"/>
      <c r="X39" s="1"/>
    </row>
    <row r="40" spans="1:24" x14ac:dyDescent="0.35">
      <c r="B40" s="16" t="s">
        <v>17</v>
      </c>
      <c r="C40" s="15" t="s">
        <v>1</v>
      </c>
      <c r="D40" s="17">
        <v>-266</v>
      </c>
      <c r="E40" s="15" t="s">
        <v>1</v>
      </c>
      <c r="F40" s="17">
        <v>-373.6</v>
      </c>
      <c r="G40" s="17">
        <v>-768</v>
      </c>
      <c r="H40" s="17">
        <v>179</v>
      </c>
      <c r="I40" s="11">
        <v>308</v>
      </c>
      <c r="J40" s="11" t="s">
        <v>1</v>
      </c>
      <c r="K40" s="11" t="s">
        <v>1</v>
      </c>
      <c r="L40" s="17" t="s">
        <v>1</v>
      </c>
      <c r="N40" s="11" t="s">
        <v>1</v>
      </c>
      <c r="O40" s="11" t="s">
        <v>1</v>
      </c>
      <c r="P40" s="17" t="s">
        <v>1</v>
      </c>
      <c r="Q40" s="1"/>
      <c r="R40" s="1"/>
      <c r="S40" s="1"/>
      <c r="T40" s="1"/>
      <c r="U40" s="1"/>
      <c r="V40" s="1"/>
      <c r="W40" s="1"/>
      <c r="X40" s="1"/>
    </row>
    <row r="41" spans="1:24" x14ac:dyDescent="0.35">
      <c r="B41" s="16" t="s">
        <v>18</v>
      </c>
      <c r="C41" s="15" t="s">
        <v>1</v>
      </c>
      <c r="D41" s="15" t="s">
        <v>1</v>
      </c>
      <c r="E41" s="15" t="s">
        <v>1</v>
      </c>
      <c r="F41" s="15" t="s">
        <v>1</v>
      </c>
      <c r="G41" s="17">
        <v>107</v>
      </c>
      <c r="H41" s="15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N41" s="11" t="s">
        <v>1</v>
      </c>
      <c r="O41" s="11" t="s">
        <v>1</v>
      </c>
      <c r="P41" s="11" t="s">
        <v>1</v>
      </c>
      <c r="Q41" s="1"/>
      <c r="R41" s="1"/>
      <c r="S41" s="1"/>
      <c r="T41" s="1"/>
      <c r="U41" s="1"/>
      <c r="V41" s="1"/>
      <c r="W41" s="1"/>
      <c r="X41" s="1"/>
    </row>
    <row r="42" spans="1:24" x14ac:dyDescent="0.35">
      <c r="B42" s="16" t="s">
        <v>34</v>
      </c>
      <c r="C42" s="15" t="s">
        <v>1</v>
      </c>
      <c r="D42" s="15" t="s">
        <v>1</v>
      </c>
      <c r="E42" s="15" t="s">
        <v>1</v>
      </c>
      <c r="F42" s="15" t="s">
        <v>1</v>
      </c>
      <c r="G42" s="17">
        <v>753</v>
      </c>
      <c r="H42" s="15" t="s">
        <v>1</v>
      </c>
      <c r="I42" s="11" t="s">
        <v>1</v>
      </c>
      <c r="J42" s="11" t="s">
        <v>1</v>
      </c>
      <c r="K42" s="11" t="s">
        <v>1</v>
      </c>
      <c r="L42" s="11" t="s">
        <v>1</v>
      </c>
      <c r="N42" s="11" t="s">
        <v>1</v>
      </c>
      <c r="O42" s="11" t="s">
        <v>1</v>
      </c>
      <c r="P42" s="11" t="s">
        <v>1</v>
      </c>
      <c r="Q42" s="1"/>
      <c r="R42" s="1"/>
      <c r="S42" s="1"/>
      <c r="T42" s="1"/>
      <c r="U42" s="1"/>
      <c r="V42" s="1"/>
      <c r="W42" s="1"/>
      <c r="X42" s="1"/>
    </row>
    <row r="43" spans="1:24" x14ac:dyDescent="0.35">
      <c r="B43" s="16" t="s">
        <v>19</v>
      </c>
      <c r="C43" s="15" t="s">
        <v>1</v>
      </c>
      <c r="D43" s="15" t="s">
        <v>1</v>
      </c>
      <c r="E43" s="15" t="s">
        <v>1</v>
      </c>
      <c r="F43" s="17">
        <v>-92</v>
      </c>
      <c r="G43" s="17">
        <v>-110</v>
      </c>
      <c r="H43" s="17">
        <v>-38</v>
      </c>
      <c r="I43" s="11">
        <v>366</v>
      </c>
      <c r="J43" s="11">
        <v>-10</v>
      </c>
      <c r="K43" s="11">
        <v>41</v>
      </c>
      <c r="L43" s="17">
        <f>-J43</f>
        <v>10</v>
      </c>
      <c r="N43" s="11" t="s">
        <v>1</v>
      </c>
      <c r="O43" s="11" t="s">
        <v>1</v>
      </c>
      <c r="P43" s="17" t="s">
        <v>1</v>
      </c>
      <c r="Q43" s="1"/>
      <c r="R43" s="1"/>
      <c r="S43" s="1"/>
      <c r="T43" s="1"/>
      <c r="U43" s="1"/>
      <c r="V43" s="1"/>
      <c r="W43" s="1"/>
      <c r="X43" s="1"/>
    </row>
    <row r="44" spans="1:24" x14ac:dyDescent="0.35">
      <c r="B44" s="16" t="s">
        <v>20</v>
      </c>
      <c r="C44" s="15" t="s">
        <v>1</v>
      </c>
      <c r="D44" s="15" t="s">
        <v>1</v>
      </c>
      <c r="E44" s="15" t="s">
        <v>1</v>
      </c>
      <c r="F44" s="15" t="s">
        <v>1</v>
      </c>
      <c r="G44" s="15" t="s">
        <v>1</v>
      </c>
      <c r="H44" s="15" t="s">
        <v>1</v>
      </c>
      <c r="I44" s="11">
        <v>50</v>
      </c>
      <c r="J44" s="11">
        <v>-75</v>
      </c>
      <c r="K44" s="11">
        <v>846</v>
      </c>
      <c r="L44" s="17">
        <f t="shared" si="0"/>
        <v>921</v>
      </c>
      <c r="N44" s="11">
        <v>-18</v>
      </c>
      <c r="O44" s="11">
        <v>181</v>
      </c>
      <c r="P44" s="17">
        <f t="shared" ref="P44" si="19">O44-N44</f>
        <v>199</v>
      </c>
      <c r="Q44" s="1"/>
      <c r="R44" s="1"/>
      <c r="S44" s="1"/>
      <c r="T44" s="1"/>
      <c r="U44" s="1"/>
      <c r="V44" s="1"/>
      <c r="W44" s="1"/>
      <c r="X44" s="1"/>
    </row>
    <row r="45" spans="1:24" x14ac:dyDescent="0.35">
      <c r="B45" s="16" t="s">
        <v>125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>
        <v>218</v>
      </c>
      <c r="K45" s="11">
        <v>263</v>
      </c>
      <c r="L45" s="15">
        <f t="shared" si="0"/>
        <v>45</v>
      </c>
      <c r="N45" s="11">
        <v>38</v>
      </c>
      <c r="O45" s="11" t="s">
        <v>1</v>
      </c>
      <c r="P45" s="15">
        <f>-N45</f>
        <v>-38</v>
      </c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58"/>
      <c r="B46" s="79" t="s">
        <v>126</v>
      </c>
      <c r="C46" s="11" t="s">
        <v>1</v>
      </c>
      <c r="D46" s="11" t="s">
        <v>1</v>
      </c>
      <c r="E46" s="11" t="s">
        <v>1</v>
      </c>
      <c r="F46" s="11" t="s">
        <v>1</v>
      </c>
      <c r="G46" s="11" t="s">
        <v>1</v>
      </c>
      <c r="H46" s="11" t="s">
        <v>1</v>
      </c>
      <c r="I46" s="11" t="s">
        <v>1</v>
      </c>
      <c r="J46" s="11" t="s">
        <v>1</v>
      </c>
      <c r="K46" s="11">
        <v>-11187</v>
      </c>
      <c r="L46" s="15">
        <f>K46</f>
        <v>-11187</v>
      </c>
      <c r="N46" s="11" t="s">
        <v>1</v>
      </c>
      <c r="O46" s="11" t="s">
        <v>1</v>
      </c>
      <c r="P46" s="15" t="str">
        <f>O46</f>
        <v>-</v>
      </c>
      <c r="Q46" s="1"/>
      <c r="R46" s="1"/>
      <c r="S46" s="1"/>
      <c r="T46" s="1"/>
      <c r="U46" s="1"/>
      <c r="V46" s="1"/>
      <c r="W46" s="1"/>
      <c r="X46" s="1"/>
    </row>
    <row r="47" spans="1:24" x14ac:dyDescent="0.35">
      <c r="B47" s="77" t="s">
        <v>35</v>
      </c>
      <c r="C47" s="15" t="s">
        <v>1</v>
      </c>
      <c r="D47" s="15" t="s">
        <v>1</v>
      </c>
      <c r="E47" s="15" t="s">
        <v>1</v>
      </c>
      <c r="F47" s="15" t="s">
        <v>1</v>
      </c>
      <c r="G47" s="15" t="s">
        <v>1</v>
      </c>
      <c r="H47" s="15" t="s">
        <v>1</v>
      </c>
      <c r="I47" s="11">
        <v>66</v>
      </c>
      <c r="J47" s="11" t="s">
        <v>1</v>
      </c>
      <c r="K47" s="11" t="s">
        <v>1</v>
      </c>
      <c r="L47" s="15" t="s">
        <v>1</v>
      </c>
      <c r="N47" s="11" t="s">
        <v>1</v>
      </c>
      <c r="O47" s="11"/>
      <c r="P47" s="15" t="s">
        <v>1</v>
      </c>
      <c r="Q47" s="1"/>
      <c r="R47" s="1"/>
      <c r="S47" s="1"/>
      <c r="T47" s="1"/>
      <c r="U47" s="1"/>
      <c r="V47" s="1"/>
      <c r="W47" s="1"/>
      <c r="X47" s="1"/>
    </row>
    <row r="48" spans="1:24" x14ac:dyDescent="0.35">
      <c r="B48" s="12" t="s">
        <v>36</v>
      </c>
      <c r="C48" s="13">
        <f t="shared" ref="C48:J48" si="20">SUM(C39:C47)</f>
        <v>-277.12300000000005</v>
      </c>
      <c r="D48" s="13">
        <f t="shared" si="20"/>
        <v>69.613999999999578</v>
      </c>
      <c r="E48" s="13">
        <f t="shared" si="20"/>
        <v>376.86399999999912</v>
      </c>
      <c r="F48" s="13">
        <f t="shared" si="20"/>
        <v>522.4</v>
      </c>
      <c r="G48" s="13">
        <f t="shared" si="20"/>
        <v>730</v>
      </c>
      <c r="H48" s="13">
        <f t="shared" si="20"/>
        <v>1175</v>
      </c>
      <c r="I48" s="13">
        <f t="shared" si="20"/>
        <v>1878</v>
      </c>
      <c r="J48" s="13">
        <f t="shared" si="20"/>
        <v>2415</v>
      </c>
      <c r="K48" s="13">
        <f t="shared" ref="K48" si="21">SUM(K39:K47)</f>
        <v>4461</v>
      </c>
      <c r="L48" s="13">
        <f t="shared" si="0"/>
        <v>2046</v>
      </c>
      <c r="M48" s="14"/>
      <c r="N48" s="13">
        <f t="shared" ref="N48" si="22">SUM(N39:N47)</f>
        <v>213</v>
      </c>
      <c r="O48" s="13">
        <f>SUM(O39:O46)</f>
        <v>551.07899999999995</v>
      </c>
      <c r="P48" s="13">
        <f t="shared" si="17"/>
        <v>338.07899999999995</v>
      </c>
      <c r="Q48" s="1"/>
      <c r="R48" s="1"/>
      <c r="S48" s="1"/>
      <c r="T48" s="1"/>
      <c r="U48" s="1"/>
      <c r="V48" s="1"/>
      <c r="W48" s="1"/>
      <c r="X48" s="1"/>
    </row>
    <row r="49" spans="2:24" x14ac:dyDescent="0.35">
      <c r="B49" s="10" t="s">
        <v>37</v>
      </c>
      <c r="C49" s="21">
        <f t="shared" ref="C49:F49" si="23">C48*1000000/118106896712*100</f>
        <v>-0.23463744092417899</v>
      </c>
      <c r="D49" s="21">
        <f t="shared" si="23"/>
        <v>5.894151987563534E-2</v>
      </c>
      <c r="E49" s="21">
        <f t="shared" si="23"/>
        <v>0.31908720869956497</v>
      </c>
      <c r="F49" s="21">
        <f t="shared" si="23"/>
        <v>0.442311172796163</v>
      </c>
      <c r="G49" s="22">
        <f>G48*1000000/118106896712*100</f>
        <v>0.61808414268989076</v>
      </c>
      <c r="H49" s="22">
        <f>H48*1000000/118106896712*100</f>
        <v>0.99486146254879682</v>
      </c>
      <c r="I49" s="22">
        <f>I48*1000000/118106896712*100</f>
        <v>1.5900849588652257</v>
      </c>
      <c r="J49" s="22">
        <f>J48*1000000/118106896712*100</f>
        <v>2.0447578145151866</v>
      </c>
      <c r="K49" s="22">
        <f>K48*1000000/118106896712*100</f>
        <v>3.7770867952597298</v>
      </c>
      <c r="L49" s="21">
        <f t="shared" si="0"/>
        <v>1.7323289807445432</v>
      </c>
      <c r="N49" s="22">
        <f>N48*1000000/118106896712*100</f>
        <v>0.18034509916842018</v>
      </c>
      <c r="O49" s="22">
        <f>O48*1000000/118106896712*100</f>
        <v>0.4665934126978114</v>
      </c>
      <c r="P49" s="21">
        <f t="shared" si="17"/>
        <v>0.28624831352939123</v>
      </c>
      <c r="Q49" s="1"/>
      <c r="R49" s="1"/>
      <c r="S49" s="1"/>
      <c r="T49" s="1"/>
      <c r="U49" s="1"/>
      <c r="V49" s="1"/>
      <c r="W49" s="1"/>
      <c r="X49" s="1"/>
    </row>
    <row r="50" spans="2:24" x14ac:dyDescent="0.35">
      <c r="B50" s="10" t="s">
        <v>38</v>
      </c>
      <c r="C50" s="82" t="s">
        <v>1</v>
      </c>
      <c r="D50" s="82" t="s">
        <v>1</v>
      </c>
      <c r="E50" s="82" t="s">
        <v>1</v>
      </c>
      <c r="F50" s="82">
        <v>0.68</v>
      </c>
      <c r="G50" s="82">
        <v>0.64740941731074941</v>
      </c>
      <c r="H50" s="82">
        <v>0.60309906382978717</v>
      </c>
      <c r="I50" s="82">
        <f>I51/I48</f>
        <v>0.60383386581469645</v>
      </c>
      <c r="J50" s="82">
        <v>0.60642878643014497</v>
      </c>
      <c r="K50" s="82">
        <v>0.6089</v>
      </c>
      <c r="L50" s="82">
        <f t="shared" si="0"/>
        <v>2.4712135698550242E-3</v>
      </c>
      <c r="N50" s="82" t="s">
        <v>1</v>
      </c>
      <c r="O50" s="82" t="s">
        <v>1</v>
      </c>
      <c r="P50" s="82" t="s">
        <v>1</v>
      </c>
      <c r="Q50" s="1"/>
      <c r="R50" s="1"/>
      <c r="S50" s="1"/>
      <c r="T50" s="1"/>
      <c r="U50" s="1"/>
      <c r="V50" s="1"/>
      <c r="W50" s="1"/>
      <c r="X50" s="1"/>
    </row>
    <row r="51" spans="2:24" x14ac:dyDescent="0.35">
      <c r="B51" s="10" t="s">
        <v>39</v>
      </c>
      <c r="C51" s="23" t="s">
        <v>1</v>
      </c>
      <c r="D51" s="23" t="s">
        <v>1</v>
      </c>
      <c r="E51" s="23" t="s">
        <v>1</v>
      </c>
      <c r="F51" s="11">
        <v>354.23200000000003</v>
      </c>
      <c r="G51" s="11">
        <v>471.60887463684708</v>
      </c>
      <c r="H51" s="11">
        <v>708.64139999999998</v>
      </c>
      <c r="I51" s="11">
        <v>1134</v>
      </c>
      <c r="J51" s="11">
        <v>1465</v>
      </c>
      <c r="K51" s="11">
        <v>2716</v>
      </c>
      <c r="L51" s="11">
        <f t="shared" si="0"/>
        <v>1251</v>
      </c>
      <c r="N51" s="11" t="s">
        <v>1</v>
      </c>
      <c r="O51" s="11" t="s">
        <v>1</v>
      </c>
      <c r="P51" s="11" t="s">
        <v>1</v>
      </c>
      <c r="Q51" s="1"/>
      <c r="R51" s="1"/>
      <c r="S51" s="1"/>
      <c r="T51" s="1"/>
      <c r="U51" s="1"/>
      <c r="V51" s="1"/>
      <c r="W51" s="1"/>
      <c r="X51" s="1"/>
    </row>
    <row r="52" spans="2:24" x14ac:dyDescent="0.35">
      <c r="B52" s="10" t="s">
        <v>40</v>
      </c>
      <c r="C52" s="23" t="s">
        <v>1</v>
      </c>
      <c r="D52" s="23" t="s">
        <v>1</v>
      </c>
      <c r="E52" s="23" t="s">
        <v>1</v>
      </c>
      <c r="F52" s="22">
        <f>F51*1000000/118106896712*100</f>
        <v>0.29992490689496631</v>
      </c>
      <c r="G52" s="22">
        <f>G51*1000000/118106896712*100</f>
        <v>0.39930680406145175</v>
      </c>
      <c r="H52" s="22">
        <f>H51*1000000/118106896712*100</f>
        <v>0.60000001670351233</v>
      </c>
      <c r="I52" s="22">
        <v>0.96</v>
      </c>
      <c r="J52" s="22">
        <v>1.24</v>
      </c>
      <c r="K52" s="22">
        <v>2.2996116870489636</v>
      </c>
      <c r="L52" s="22">
        <f t="shared" si="0"/>
        <v>1.0596116870489636</v>
      </c>
      <c r="N52" s="22" t="s">
        <v>1</v>
      </c>
      <c r="O52" s="22" t="s">
        <v>1</v>
      </c>
      <c r="P52" s="22" t="s">
        <v>1</v>
      </c>
      <c r="Q52" s="1"/>
      <c r="R52" s="1"/>
      <c r="S52" s="1"/>
      <c r="T52" s="1"/>
      <c r="U52" s="1"/>
      <c r="V52" s="1"/>
      <c r="W52" s="1"/>
      <c r="X52" s="1"/>
    </row>
    <row r="53" spans="2:24" x14ac:dyDescent="0.35">
      <c r="B53" s="10"/>
      <c r="C53" s="24"/>
      <c r="D53" s="24"/>
      <c r="E53" s="24"/>
      <c r="F53" s="22"/>
      <c r="G53" s="22"/>
      <c r="H53" s="22"/>
      <c r="I53" s="22"/>
      <c r="J53" s="22"/>
      <c r="K53" s="22"/>
      <c r="L53" s="22"/>
      <c r="N53" s="22"/>
      <c r="O53" s="22"/>
      <c r="P53" s="22"/>
      <c r="Q53" s="1"/>
      <c r="R53" s="1"/>
      <c r="S53" s="1"/>
      <c r="T53" s="1"/>
      <c r="U53" s="1"/>
      <c r="V53" s="1"/>
      <c r="W53" s="1"/>
      <c r="X53" s="1"/>
    </row>
    <row r="54" spans="2:24" x14ac:dyDescent="0.35">
      <c r="B54" s="12" t="s">
        <v>41</v>
      </c>
      <c r="C54" s="13">
        <v>146</v>
      </c>
      <c r="D54" s="13">
        <v>1095</v>
      </c>
      <c r="E54" s="13">
        <v>2004</v>
      </c>
      <c r="F54" s="13">
        <v>1923</v>
      </c>
      <c r="G54" s="13">
        <v>2122</v>
      </c>
      <c r="H54" s="13">
        <v>4168</v>
      </c>
      <c r="I54" s="13">
        <v>4315</v>
      </c>
      <c r="J54" s="13">
        <v>6315</v>
      </c>
      <c r="K54" s="13">
        <v>10646</v>
      </c>
      <c r="L54" s="13">
        <f t="shared" si="0"/>
        <v>4331</v>
      </c>
      <c r="M54" s="14"/>
      <c r="N54" s="13">
        <v>-2065</v>
      </c>
      <c r="O54" s="13">
        <v>7446</v>
      </c>
      <c r="P54" s="13">
        <f t="shared" si="17"/>
        <v>9511</v>
      </c>
      <c r="Q54" s="1"/>
      <c r="R54" s="1"/>
      <c r="S54" s="1"/>
      <c r="T54" s="1"/>
      <c r="U54" s="1"/>
      <c r="V54" s="1"/>
      <c r="W54" s="1"/>
      <c r="X54" s="1"/>
    </row>
    <row r="55" spans="2:24" x14ac:dyDescent="0.35">
      <c r="B55" s="10" t="s">
        <v>42</v>
      </c>
      <c r="C55" s="11">
        <v>-525</v>
      </c>
      <c r="D55" s="11">
        <v>-1093</v>
      </c>
      <c r="E55" s="11">
        <v>-1560</v>
      </c>
      <c r="F55" s="11">
        <v>-1747</v>
      </c>
      <c r="G55" s="11">
        <v>-1602</v>
      </c>
      <c r="H55" s="11">
        <v>-1621</v>
      </c>
      <c r="I55" s="11">
        <v>-2155</v>
      </c>
      <c r="J55" s="11">
        <v>-3504</v>
      </c>
      <c r="K55" s="11">
        <v>-5833</v>
      </c>
      <c r="L55" s="25">
        <f t="shared" si="0"/>
        <v>-2329</v>
      </c>
      <c r="N55" s="11">
        <v>-1183</v>
      </c>
      <c r="O55" s="11">
        <v>-3203</v>
      </c>
      <c r="P55" s="25">
        <f t="shared" si="17"/>
        <v>-2020</v>
      </c>
      <c r="Q55" s="1"/>
      <c r="R55" s="1"/>
      <c r="S55" s="1"/>
      <c r="T55" s="1"/>
      <c r="U55" s="1"/>
      <c r="V55" s="1"/>
      <c r="W55" s="1"/>
      <c r="X55" s="1"/>
    </row>
    <row r="56" spans="2:24" x14ac:dyDescent="0.35">
      <c r="B56" s="12" t="s">
        <v>43</v>
      </c>
      <c r="C56" s="13">
        <f t="shared" ref="C56:H56" si="24">SUM(C54:C55)</f>
        <v>-379</v>
      </c>
      <c r="D56" s="13">
        <f t="shared" si="24"/>
        <v>2</v>
      </c>
      <c r="E56" s="13">
        <f t="shared" si="24"/>
        <v>444</v>
      </c>
      <c r="F56" s="13">
        <f t="shared" si="24"/>
        <v>176</v>
      </c>
      <c r="G56" s="13">
        <f t="shared" si="24"/>
        <v>520</v>
      </c>
      <c r="H56" s="13">
        <f t="shared" si="24"/>
        <v>2547</v>
      </c>
      <c r="I56" s="13">
        <f>SUM(I54:I55)</f>
        <v>2160</v>
      </c>
      <c r="J56" s="13">
        <f>SUM(J54:J55)</f>
        <v>2811</v>
      </c>
      <c r="K56" s="13">
        <f>SUM(K54:K55)</f>
        <v>4813</v>
      </c>
      <c r="L56" s="13">
        <f t="shared" si="0"/>
        <v>2002</v>
      </c>
      <c r="M56" s="14"/>
      <c r="N56" s="13">
        <f>SUM(N54:N55)</f>
        <v>-3248</v>
      </c>
      <c r="O56" s="13">
        <f>SUM(O54:O55)</f>
        <v>4243</v>
      </c>
      <c r="P56" s="13">
        <f t="shared" si="17"/>
        <v>7491</v>
      </c>
      <c r="Q56" s="1"/>
      <c r="R56" s="1"/>
      <c r="S56" s="1"/>
      <c r="T56" s="1"/>
      <c r="U56" s="1"/>
      <c r="V56" s="1"/>
      <c r="W56" s="1"/>
      <c r="X56" s="1"/>
    </row>
    <row r="57" spans="2:24" x14ac:dyDescent="0.35">
      <c r="B57" s="10" t="s">
        <v>44</v>
      </c>
      <c r="C57" s="11">
        <v>-596</v>
      </c>
      <c r="D57" s="11">
        <v>-374.26</v>
      </c>
      <c r="E57" s="11">
        <v>-602</v>
      </c>
      <c r="F57" s="11">
        <v>-886</v>
      </c>
      <c r="G57" s="11">
        <v>-1047</v>
      </c>
      <c r="H57" s="11">
        <v>-1586</v>
      </c>
      <c r="I57" s="11">
        <v>-1211</v>
      </c>
      <c r="J57" s="11">
        <v>-1445</v>
      </c>
      <c r="K57" s="11">
        <v>-2580</v>
      </c>
      <c r="L57" s="25">
        <f t="shared" si="0"/>
        <v>-1135</v>
      </c>
      <c r="N57" s="11">
        <v>-440</v>
      </c>
      <c r="O57" s="11">
        <v>-999</v>
      </c>
      <c r="P57" s="25">
        <f t="shared" si="17"/>
        <v>-559</v>
      </c>
      <c r="Q57" s="1"/>
      <c r="R57" s="1"/>
      <c r="S57" s="1"/>
      <c r="T57" s="1"/>
      <c r="U57" s="1"/>
      <c r="V57" s="1"/>
      <c r="W57" s="1"/>
      <c r="X57" s="1"/>
    </row>
    <row r="58" spans="2:24" x14ac:dyDescent="0.35">
      <c r="B58" s="10" t="s">
        <v>45</v>
      </c>
      <c r="C58" s="25">
        <v>-48</v>
      </c>
      <c r="D58" s="25">
        <v>-73</v>
      </c>
      <c r="E58" s="25">
        <v>-145</v>
      </c>
      <c r="F58" s="25">
        <v>-65</v>
      </c>
      <c r="G58" s="11">
        <v>-35</v>
      </c>
      <c r="H58" s="11">
        <v>-456</v>
      </c>
      <c r="I58" s="11">
        <v>-445</v>
      </c>
      <c r="J58" s="11">
        <v>-1258</v>
      </c>
      <c r="K58" s="11">
        <v>-676</v>
      </c>
      <c r="L58" s="25">
        <f t="shared" si="0"/>
        <v>582</v>
      </c>
      <c r="N58" s="11">
        <v>-77</v>
      </c>
      <c r="O58" s="11">
        <v>-207</v>
      </c>
      <c r="P58" s="25">
        <f t="shared" si="17"/>
        <v>-130</v>
      </c>
      <c r="Q58" s="1"/>
      <c r="R58" s="1"/>
      <c r="S58" s="1"/>
      <c r="T58" s="1"/>
      <c r="U58" s="1"/>
      <c r="V58" s="1"/>
      <c r="W58" s="1"/>
      <c r="X58" s="1"/>
    </row>
    <row r="59" spans="2:24" x14ac:dyDescent="0.35">
      <c r="B59" s="12" t="s">
        <v>46</v>
      </c>
      <c r="C59" s="13">
        <f>SUM(C56:C58)</f>
        <v>-1023</v>
      </c>
      <c r="D59" s="13">
        <f>SUM(D56:D58)</f>
        <v>-445.26</v>
      </c>
      <c r="E59" s="13">
        <f>SUM(E56:E58)</f>
        <v>-303</v>
      </c>
      <c r="F59" s="13">
        <f>SUM(F56:F58)</f>
        <v>-775</v>
      </c>
      <c r="G59" s="13">
        <f t="shared" ref="G59:H59" si="25">SUM(G56:G58)</f>
        <v>-562</v>
      </c>
      <c r="H59" s="13">
        <f t="shared" si="25"/>
        <v>505</v>
      </c>
      <c r="I59" s="13">
        <f>SUM(I56:I58)</f>
        <v>504</v>
      </c>
      <c r="J59" s="13">
        <f>SUM(J56:J58)</f>
        <v>108</v>
      </c>
      <c r="K59" s="13">
        <f>SUM(K56:K58)</f>
        <v>1557</v>
      </c>
      <c r="L59" s="13">
        <f t="shared" si="0"/>
        <v>1449</v>
      </c>
      <c r="M59" s="14"/>
      <c r="N59" s="13">
        <f>SUM(N56:N58)</f>
        <v>-3765</v>
      </c>
      <c r="O59" s="13">
        <f>SUM(O56:O58)</f>
        <v>3037</v>
      </c>
      <c r="P59" s="13">
        <f t="shared" si="17"/>
        <v>6802</v>
      </c>
      <c r="Q59" s="1"/>
      <c r="R59" s="1"/>
      <c r="S59" s="1"/>
      <c r="T59" s="1"/>
      <c r="U59" s="1"/>
      <c r="V59" s="1"/>
      <c r="W59" s="1"/>
      <c r="X59" s="1"/>
    </row>
    <row r="60" spans="2:24" x14ac:dyDescent="0.35">
      <c r="B60" s="16"/>
      <c r="C60" s="26"/>
      <c r="D60" s="27"/>
      <c r="E60" s="27"/>
      <c r="F60" s="27"/>
      <c r="G60" s="27"/>
      <c r="H60" s="27"/>
      <c r="I60" s="27"/>
      <c r="J60" s="27"/>
      <c r="K60" s="27"/>
      <c r="L60" s="27"/>
      <c r="N60" s="27"/>
      <c r="O60" s="27"/>
      <c r="P60" s="27"/>
      <c r="Q60" s="1"/>
      <c r="R60" s="1"/>
      <c r="S60" s="1"/>
      <c r="T60" s="1"/>
      <c r="U60" s="1"/>
      <c r="V60" s="1"/>
      <c r="W60" s="1"/>
      <c r="X60" s="1"/>
    </row>
    <row r="61" spans="2:24" x14ac:dyDescent="0.35">
      <c r="B61" s="16" t="s">
        <v>47</v>
      </c>
      <c r="C61" s="15" t="s">
        <v>1</v>
      </c>
      <c r="D61" s="27">
        <v>5461</v>
      </c>
      <c r="E61" s="27">
        <v>6083</v>
      </c>
      <c r="F61" s="28">
        <f>E65</f>
        <v>6493</v>
      </c>
      <c r="G61" s="28">
        <v>7303</v>
      </c>
      <c r="H61" s="28">
        <v>8702</v>
      </c>
      <c r="I61" s="28">
        <f>H65</f>
        <v>8846.7929999999997</v>
      </c>
      <c r="J61" s="11">
        <f>I65</f>
        <v>9399</v>
      </c>
      <c r="K61" s="11">
        <f>J65</f>
        <v>9028</v>
      </c>
      <c r="L61" s="28">
        <f t="shared" si="0"/>
        <v>-371</v>
      </c>
      <c r="N61" s="11">
        <f>J65</f>
        <v>9028</v>
      </c>
      <c r="O61" s="11">
        <f>K65</f>
        <v>10735</v>
      </c>
      <c r="P61" s="28">
        <f t="shared" si="17"/>
        <v>1707</v>
      </c>
      <c r="Q61" s="1"/>
      <c r="R61" s="1"/>
      <c r="S61" s="1"/>
      <c r="T61" s="1"/>
      <c r="U61" s="1"/>
      <c r="V61" s="1"/>
      <c r="W61" s="1"/>
      <c r="X61" s="1"/>
    </row>
    <row r="62" spans="2:24" x14ac:dyDescent="0.35">
      <c r="B62" s="29" t="s">
        <v>48</v>
      </c>
      <c r="C62" s="15" t="s">
        <v>1</v>
      </c>
      <c r="D62" s="28">
        <v>445.26</v>
      </c>
      <c r="E62" s="28">
        <v>303</v>
      </c>
      <c r="F62" s="28">
        <v>775</v>
      </c>
      <c r="G62" s="28">
        <v>562</v>
      </c>
      <c r="H62" s="28">
        <v>-505</v>
      </c>
      <c r="I62" s="28">
        <f>-I59</f>
        <v>-504</v>
      </c>
      <c r="J62" s="28">
        <f>-J59</f>
        <v>-108</v>
      </c>
      <c r="K62" s="11">
        <f>-K59</f>
        <v>-1557</v>
      </c>
      <c r="L62" s="28">
        <f t="shared" si="0"/>
        <v>-1449</v>
      </c>
      <c r="N62" s="11">
        <v>3765</v>
      </c>
      <c r="O62" s="11">
        <v>-3037</v>
      </c>
      <c r="P62" s="28">
        <f t="shared" si="17"/>
        <v>-6802</v>
      </c>
      <c r="Q62" s="1"/>
      <c r="R62" s="1"/>
      <c r="S62" s="1"/>
      <c r="T62" s="1"/>
      <c r="U62" s="1"/>
      <c r="V62" s="1"/>
      <c r="W62" s="1"/>
      <c r="X62" s="1"/>
    </row>
    <row r="63" spans="2:24" x14ac:dyDescent="0.35">
      <c r="B63" s="29" t="s">
        <v>49</v>
      </c>
      <c r="C63" s="15" t="s">
        <v>1</v>
      </c>
      <c r="D63" s="15" t="s">
        <v>1</v>
      </c>
      <c r="E63" s="15" t="s">
        <v>1</v>
      </c>
      <c r="F63" s="15" t="s">
        <v>1</v>
      </c>
      <c r="G63" s="28">
        <v>354</v>
      </c>
      <c r="H63" s="28">
        <v>471.60887463684708</v>
      </c>
      <c r="I63" s="28">
        <v>708.64</v>
      </c>
      <c r="J63" s="11">
        <f>I51</f>
        <v>1134</v>
      </c>
      <c r="K63" s="11">
        <f>J51</f>
        <v>1465</v>
      </c>
      <c r="L63" s="28">
        <f t="shared" si="0"/>
        <v>331</v>
      </c>
      <c r="N63" s="11" t="s">
        <v>1</v>
      </c>
      <c r="O63" s="11" t="s">
        <v>1</v>
      </c>
      <c r="P63" s="28" t="s">
        <v>1</v>
      </c>
      <c r="Q63" s="1"/>
      <c r="R63" s="1"/>
      <c r="S63" s="1"/>
      <c r="T63" s="1"/>
      <c r="U63" s="1"/>
      <c r="V63" s="1"/>
      <c r="W63" s="1"/>
      <c r="X63" s="1"/>
    </row>
    <row r="64" spans="2:24" x14ac:dyDescent="0.35">
      <c r="B64" s="29" t="s">
        <v>50</v>
      </c>
      <c r="C64" s="15" t="s">
        <v>1</v>
      </c>
      <c r="D64" s="28">
        <v>176.74</v>
      </c>
      <c r="E64" s="28">
        <v>107</v>
      </c>
      <c r="F64" s="28">
        <v>35</v>
      </c>
      <c r="G64" s="28">
        <v>483</v>
      </c>
      <c r="H64" s="28">
        <v>178.18412536315191</v>
      </c>
      <c r="I64" s="28">
        <v>347.56700000000092</v>
      </c>
      <c r="J64" s="11">
        <v>-1397</v>
      </c>
      <c r="K64" s="11">
        <v>1799</v>
      </c>
      <c r="L64" s="28">
        <f t="shared" si="0"/>
        <v>3196</v>
      </c>
      <c r="N64" s="11">
        <v>433</v>
      </c>
      <c r="O64" s="11">
        <v>-106</v>
      </c>
      <c r="P64" s="28">
        <f t="shared" si="17"/>
        <v>-539</v>
      </c>
      <c r="Q64" s="1"/>
      <c r="R64" s="1"/>
      <c r="S64" s="1"/>
      <c r="T64" s="1"/>
      <c r="U64" s="1"/>
      <c r="V64" s="1"/>
      <c r="W64" s="1"/>
      <c r="X64" s="1"/>
    </row>
    <row r="65" spans="2:24" x14ac:dyDescent="0.35">
      <c r="B65" s="16" t="s">
        <v>51</v>
      </c>
      <c r="C65" s="28">
        <v>5461</v>
      </c>
      <c r="D65" s="28">
        <v>6083</v>
      </c>
      <c r="E65" s="28">
        <v>6493</v>
      </c>
      <c r="F65" s="28">
        <v>7303</v>
      </c>
      <c r="G65" s="28">
        <v>8702</v>
      </c>
      <c r="H65" s="28">
        <v>8846.7929999999997</v>
      </c>
      <c r="I65" s="28">
        <v>9399</v>
      </c>
      <c r="J65" s="11">
        <v>9028</v>
      </c>
      <c r="K65" s="11">
        <f>SUM(K61:K64)</f>
        <v>10735</v>
      </c>
      <c r="L65" s="28">
        <f t="shared" si="0"/>
        <v>1707</v>
      </c>
      <c r="N65" s="11">
        <f>SUM(N61:N64)</f>
        <v>13226</v>
      </c>
      <c r="O65" s="11">
        <f>SUM(O61:O64)</f>
        <v>7592</v>
      </c>
      <c r="P65" s="28">
        <f t="shared" si="17"/>
        <v>-5634</v>
      </c>
      <c r="Q65" s="1"/>
      <c r="R65" s="1"/>
      <c r="S65" s="1"/>
      <c r="T65" s="1"/>
      <c r="U65" s="1"/>
      <c r="V65" s="1"/>
      <c r="W65" s="1"/>
      <c r="X65" s="1"/>
    </row>
    <row r="66" spans="2:24" x14ac:dyDescent="0.35">
      <c r="B66" s="12" t="s">
        <v>52</v>
      </c>
      <c r="C66" s="30">
        <f>ROUND(C65/C23,1)</f>
        <v>7</v>
      </c>
      <c r="D66" s="30">
        <f>ROUND(D65/D23,1)</f>
        <v>5.5</v>
      </c>
      <c r="E66" s="30">
        <v>3.4</v>
      </c>
      <c r="F66" s="30">
        <f t="shared" ref="F66:K66" si="26">ROUND(F65/F23,1)</f>
        <v>2.8</v>
      </c>
      <c r="G66" s="30">
        <f t="shared" si="26"/>
        <v>2.2999999999999998</v>
      </c>
      <c r="H66" s="30">
        <f t="shared" si="26"/>
        <v>1.9</v>
      </c>
      <c r="I66" s="30">
        <f t="shared" si="26"/>
        <v>1.7</v>
      </c>
      <c r="J66" s="30">
        <f t="shared" si="26"/>
        <v>1.2</v>
      </c>
      <c r="K66" s="30">
        <f t="shared" si="26"/>
        <v>0.7</v>
      </c>
      <c r="L66" s="30">
        <f t="shared" si="0"/>
        <v>-0.5</v>
      </c>
      <c r="M66" s="14"/>
      <c r="N66" s="30" t="s">
        <v>1</v>
      </c>
      <c r="O66" s="30" t="s">
        <v>1</v>
      </c>
      <c r="P66" s="30" t="s">
        <v>1</v>
      </c>
      <c r="Q66" s="1"/>
      <c r="R66" s="1"/>
      <c r="S66" s="1"/>
      <c r="T66" s="1"/>
      <c r="U66" s="1"/>
      <c r="V66" s="1"/>
      <c r="W66" s="1"/>
      <c r="X66" s="1"/>
    </row>
    <row r="67" spans="2:24" x14ac:dyDescent="0.35">
      <c r="B67" s="4"/>
      <c r="C67" s="31"/>
      <c r="D67" s="31"/>
      <c r="E67" s="31"/>
      <c r="F67" s="31"/>
      <c r="G67" s="31"/>
      <c r="H67" s="31"/>
      <c r="L67" s="31"/>
      <c r="P67" s="31"/>
      <c r="Q67" s="1"/>
      <c r="R67" s="1"/>
      <c r="S67" s="1"/>
      <c r="T67" s="1"/>
      <c r="U67" s="1"/>
      <c r="V67" s="1"/>
      <c r="W67" s="1"/>
      <c r="X67" s="1"/>
    </row>
    <row r="68" spans="2:24" x14ac:dyDescent="0.35">
      <c r="B68" s="12" t="s">
        <v>53</v>
      </c>
      <c r="C68" s="13"/>
      <c r="D68" s="13"/>
      <c r="E68" s="13"/>
      <c r="F68" s="13"/>
      <c r="G68" s="13"/>
      <c r="H68" s="13"/>
      <c r="I68" s="13"/>
      <c r="J68" s="13">
        <v>11325.24198615</v>
      </c>
      <c r="K68" s="13">
        <v>15188</v>
      </c>
      <c r="L68" s="13">
        <f t="shared" si="0"/>
        <v>3862.7580138499998</v>
      </c>
      <c r="M68" s="14"/>
      <c r="N68" s="13">
        <v>16325</v>
      </c>
      <c r="O68" s="13">
        <v>12656</v>
      </c>
      <c r="P68" s="13">
        <f t="shared" si="17"/>
        <v>-3669</v>
      </c>
      <c r="Q68" s="1"/>
      <c r="R68" s="1"/>
      <c r="S68" s="1"/>
      <c r="T68" s="1"/>
      <c r="U68" s="1"/>
      <c r="V68" s="1"/>
      <c r="W68" s="1"/>
      <c r="X68" s="1"/>
    </row>
    <row r="69" spans="2:24" x14ac:dyDescent="0.35">
      <c r="C69" s="1"/>
      <c r="E69" s="1"/>
      <c r="F69" s="1"/>
      <c r="G69" s="1"/>
      <c r="H69" s="1"/>
      <c r="J69" s="32"/>
      <c r="K69" s="32"/>
      <c r="L69" s="1"/>
      <c r="N69" s="32"/>
      <c r="O69" s="32"/>
      <c r="P69" s="1"/>
    </row>
    <row r="70" spans="2:24" x14ac:dyDescent="0.35">
      <c r="C70" s="1"/>
      <c r="E70" s="33"/>
      <c r="F70" s="33"/>
      <c r="G70" s="1"/>
      <c r="H70" s="1"/>
      <c r="L70" s="1"/>
      <c r="P70" s="1"/>
    </row>
    <row r="71" spans="2:24" x14ac:dyDescent="0.35">
      <c r="F71" s="1"/>
      <c r="G71" s="1"/>
      <c r="H71" s="1"/>
      <c r="J71" s="1"/>
      <c r="K71" s="1"/>
      <c r="N71" s="1"/>
      <c r="O71" s="1"/>
    </row>
    <row r="73" spans="2:24" x14ac:dyDescent="0.35">
      <c r="F73" s="1"/>
      <c r="G73" s="1"/>
      <c r="H73" s="1"/>
      <c r="I73" s="1"/>
      <c r="J73" s="1"/>
      <c r="K73" s="1"/>
      <c r="L73" s="1"/>
      <c r="N73" s="1"/>
      <c r="O73" s="1"/>
      <c r="P73" s="1"/>
    </row>
    <row r="74" spans="2:24" x14ac:dyDescent="0.35">
      <c r="F74" s="1"/>
      <c r="G74" s="1"/>
      <c r="H74" s="1"/>
      <c r="I74" s="1"/>
      <c r="J74" s="1"/>
      <c r="K74" s="1"/>
      <c r="N74" s="1"/>
      <c r="O74" s="1"/>
    </row>
    <row r="75" spans="2:24" x14ac:dyDescent="0.35">
      <c r="F75" s="34"/>
      <c r="G75" s="34"/>
      <c r="H75" s="34"/>
      <c r="I75" s="34"/>
      <c r="J75" s="34"/>
      <c r="K75" s="34"/>
      <c r="N75" s="34"/>
      <c r="O75" s="34"/>
    </row>
  </sheetData>
  <pageMargins left="0.25" right="0.25" top="0.75" bottom="0.75" header="0.3" footer="0.3"/>
  <pageSetup paperSize="9" scale="48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7"/>
  <sheetViews>
    <sheetView showGridLines="0" zoomScale="80" zoomScaleNormal="80" workbookViewId="0">
      <pane xSplit="2" ySplit="3" topLeftCell="C4" activePane="bottomRight" state="frozen"/>
      <selection activeCell="A36" sqref="A36"/>
      <selection pane="topRight" activeCell="A36" sqref="A36"/>
      <selection pane="bottomLeft" activeCell="A36" sqref="A36"/>
      <selection pane="bottomRight" activeCell="A2" sqref="A2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4.90625" bestFit="1" customWidth="1"/>
    <col min="14" max="16" width="10.6328125" customWidth="1"/>
  </cols>
  <sheetData>
    <row r="1" spans="2:16" x14ac:dyDescent="0.35">
      <c r="C1" s="1"/>
      <c r="D1" s="1"/>
      <c r="E1" s="1"/>
      <c r="F1" s="2"/>
      <c r="G1" s="2"/>
      <c r="H1" s="2"/>
      <c r="L1" s="2"/>
      <c r="P1" s="2"/>
    </row>
    <row r="2" spans="2:16" x14ac:dyDescent="0.35">
      <c r="B2" s="35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5" t="s">
        <v>55</v>
      </c>
      <c r="M2" s="37"/>
      <c r="N2" s="36" t="s">
        <v>128</v>
      </c>
      <c r="O2" s="36" t="s">
        <v>128</v>
      </c>
      <c r="P2" s="5" t="s">
        <v>55</v>
      </c>
    </row>
    <row r="3" spans="2:16" ht="15" thickBot="1" x14ac:dyDescent="0.4">
      <c r="B3" s="38" t="s">
        <v>57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8">
        <v>2021</v>
      </c>
      <c r="K3" s="8">
        <v>2022</v>
      </c>
      <c r="L3" s="9" t="str">
        <f>Konsolide!L3</f>
        <v>21-22</v>
      </c>
      <c r="M3" s="37"/>
      <c r="N3" s="8">
        <v>2022</v>
      </c>
      <c r="O3" s="8">
        <v>2023</v>
      </c>
      <c r="P3" s="9" t="s">
        <v>127</v>
      </c>
    </row>
    <row r="4" spans="2:16" x14ac:dyDescent="0.35">
      <c r="B4" s="16" t="s">
        <v>58</v>
      </c>
      <c r="C4" s="40">
        <v>299.22800000000018</v>
      </c>
      <c r="D4" s="40">
        <v>311.61800000000056</v>
      </c>
      <c r="E4" s="40">
        <v>312.18900000000048</v>
      </c>
      <c r="F4" s="40">
        <v>334.85956230004615</v>
      </c>
      <c r="G4" s="40">
        <v>621</v>
      </c>
      <c r="H4" s="40">
        <v>657</v>
      </c>
      <c r="I4" s="40">
        <v>738</v>
      </c>
      <c r="J4" s="40">
        <v>974</v>
      </c>
      <c r="K4" s="40">
        <v>2873</v>
      </c>
      <c r="L4" s="40">
        <f>K4-J4</f>
        <v>1899</v>
      </c>
      <c r="M4" s="88"/>
      <c r="N4" s="40">
        <v>625</v>
      </c>
      <c r="O4" s="40">
        <v>939</v>
      </c>
      <c r="P4" s="40">
        <f>O4-N4</f>
        <v>314</v>
      </c>
    </row>
    <row r="5" spans="2:16" x14ac:dyDescent="0.35">
      <c r="B5" s="16" t="s">
        <v>59</v>
      </c>
      <c r="C5" s="40">
        <v>22.606147221013639</v>
      </c>
      <c r="D5" s="40">
        <v>72.397000000000673</v>
      </c>
      <c r="E5" s="40">
        <v>144.58423525436825</v>
      </c>
      <c r="F5" s="40">
        <v>73.956999999999894</v>
      </c>
      <c r="G5" s="40">
        <v>46</v>
      </c>
      <c r="H5" s="40">
        <v>97</v>
      </c>
      <c r="I5" s="40">
        <v>482</v>
      </c>
      <c r="J5" s="40">
        <v>189</v>
      </c>
      <c r="K5" s="40">
        <v>1002</v>
      </c>
      <c r="L5" s="40">
        <f t="shared" ref="L5:L18" si="0">K5-J5</f>
        <v>813</v>
      </c>
      <c r="M5" s="88"/>
      <c r="N5" s="40">
        <v>87</v>
      </c>
      <c r="O5" s="40">
        <v>395</v>
      </c>
      <c r="P5" s="40">
        <f t="shared" ref="P5" si="1">O5-N5</f>
        <v>308</v>
      </c>
    </row>
    <row r="6" spans="2:16" x14ac:dyDescent="0.35">
      <c r="B6" s="16" t="s">
        <v>7</v>
      </c>
      <c r="C6" s="40">
        <v>-173.78114722101355</v>
      </c>
      <c r="D6" s="40">
        <v>-223.7378191757397</v>
      </c>
      <c r="E6" s="40">
        <v>-230.84508382045973</v>
      </c>
      <c r="F6" s="40">
        <v>-246.28291100266162</v>
      </c>
      <c r="G6" s="40">
        <f>-323-G26</f>
        <v>-315</v>
      </c>
      <c r="H6" s="40">
        <f>-325-H26</f>
        <v>-307</v>
      </c>
      <c r="I6" s="40">
        <v>-369</v>
      </c>
      <c r="J6" s="40">
        <v>-427</v>
      </c>
      <c r="K6" s="40">
        <v>-959</v>
      </c>
      <c r="L6" s="40">
        <f t="shared" si="0"/>
        <v>-532</v>
      </c>
      <c r="M6" s="89"/>
      <c r="N6" s="40">
        <v>-171</v>
      </c>
      <c r="O6" s="40">
        <v>-402</v>
      </c>
      <c r="P6" s="40">
        <f t="shared" ref="P6:P18" si="2">O6-N6</f>
        <v>-231</v>
      </c>
    </row>
    <row r="7" spans="2:16" x14ac:dyDescent="0.35">
      <c r="B7" s="16" t="s">
        <v>60</v>
      </c>
      <c r="C7" s="40">
        <f>SUM(C8:C10)</f>
        <v>11.761999999999986</v>
      </c>
      <c r="D7" s="40">
        <f t="shared" ref="D7:K7" si="3">SUM(D8:D10)</f>
        <v>111.092</v>
      </c>
      <c r="E7" s="40">
        <f t="shared" si="3"/>
        <v>70.445821000000009</v>
      </c>
      <c r="F7" s="40">
        <f t="shared" si="3"/>
        <v>88.808999999999997</v>
      </c>
      <c r="G7" s="40">
        <f t="shared" si="3"/>
        <v>58</v>
      </c>
      <c r="H7" s="40">
        <f t="shared" si="3"/>
        <v>120</v>
      </c>
      <c r="I7" s="40">
        <f t="shared" si="3"/>
        <v>44</v>
      </c>
      <c r="J7" s="40">
        <f t="shared" si="3"/>
        <v>154</v>
      </c>
      <c r="K7" s="40">
        <f t="shared" si="3"/>
        <v>252</v>
      </c>
      <c r="L7" s="40">
        <f t="shared" si="0"/>
        <v>98</v>
      </c>
      <c r="M7" s="88"/>
      <c r="N7" s="40">
        <f t="shared" ref="N7:O7" si="4">SUM(N8:N10)</f>
        <v>4</v>
      </c>
      <c r="O7" s="40">
        <f t="shared" si="4"/>
        <v>-84</v>
      </c>
      <c r="P7" s="40">
        <f t="shared" si="2"/>
        <v>-88</v>
      </c>
    </row>
    <row r="8" spans="2:16" x14ac:dyDescent="0.35">
      <c r="B8" s="29" t="s">
        <v>61</v>
      </c>
      <c r="C8" s="40">
        <v>-165.72300000000001</v>
      </c>
      <c r="D8" s="40">
        <v>-131.27500000000001</v>
      </c>
      <c r="E8" s="40">
        <v>-86.338178999999997</v>
      </c>
      <c r="F8" s="40">
        <v>-75.184078999999997</v>
      </c>
      <c r="G8" s="40">
        <f>-84-G27</f>
        <v>-84</v>
      </c>
      <c r="H8" s="40">
        <f>-63-H27</f>
        <v>-63</v>
      </c>
      <c r="I8" s="40">
        <v>-140</v>
      </c>
      <c r="J8" s="40">
        <v>-73</v>
      </c>
      <c r="K8" s="40">
        <v>-180</v>
      </c>
      <c r="L8" s="40">
        <f t="shared" si="0"/>
        <v>-107</v>
      </c>
      <c r="M8" s="88"/>
      <c r="N8" s="40">
        <v>-59</v>
      </c>
      <c r="O8" s="40">
        <v>-215</v>
      </c>
      <c r="P8" s="40">
        <f t="shared" si="2"/>
        <v>-156</v>
      </c>
    </row>
    <row r="9" spans="2:16" x14ac:dyDescent="0.35">
      <c r="B9" s="29" t="s">
        <v>62</v>
      </c>
      <c r="C9" s="40">
        <v>79.484999999999999</v>
      </c>
      <c r="D9" s="40">
        <v>86.367000000000004</v>
      </c>
      <c r="E9" s="40">
        <v>66.784000000000006</v>
      </c>
      <c r="F9" s="40">
        <v>70.993078999999994</v>
      </c>
      <c r="G9" s="40">
        <v>84</v>
      </c>
      <c r="H9" s="40">
        <v>144</v>
      </c>
      <c r="I9" s="40">
        <v>138</v>
      </c>
      <c r="J9" s="40">
        <v>166</v>
      </c>
      <c r="K9" s="40">
        <v>362</v>
      </c>
      <c r="L9" s="40">
        <f t="shared" si="0"/>
        <v>196</v>
      </c>
      <c r="M9" s="88"/>
      <c r="N9" s="40">
        <v>52</v>
      </c>
      <c r="O9" s="40">
        <v>122</v>
      </c>
      <c r="P9" s="40">
        <f t="shared" si="2"/>
        <v>70</v>
      </c>
    </row>
    <row r="10" spans="2:16" x14ac:dyDescent="0.35">
      <c r="B10" s="29" t="s">
        <v>63</v>
      </c>
      <c r="C10" s="40">
        <v>98</v>
      </c>
      <c r="D10" s="40">
        <v>156</v>
      </c>
      <c r="E10" s="40">
        <v>90</v>
      </c>
      <c r="F10" s="40">
        <v>93</v>
      </c>
      <c r="G10" s="40">
        <v>58</v>
      </c>
      <c r="H10" s="40">
        <v>39</v>
      </c>
      <c r="I10" s="40">
        <v>46</v>
      </c>
      <c r="J10" s="40">
        <v>61</v>
      </c>
      <c r="K10" s="40">
        <v>70</v>
      </c>
      <c r="L10" s="40">
        <f t="shared" si="0"/>
        <v>9</v>
      </c>
      <c r="M10" s="88"/>
      <c r="N10" s="40">
        <v>11</v>
      </c>
      <c r="O10" s="40">
        <v>9</v>
      </c>
      <c r="P10" s="40">
        <f t="shared" si="2"/>
        <v>-2</v>
      </c>
    </row>
    <row r="11" spans="2:16" x14ac:dyDescent="0.35">
      <c r="B11" s="16" t="s">
        <v>31</v>
      </c>
      <c r="C11" s="40">
        <v>-14.565</v>
      </c>
      <c r="D11" s="40">
        <v>8.3518759999999972</v>
      </c>
      <c r="E11" s="40">
        <v>-6.4528210000000072</v>
      </c>
      <c r="F11" s="40">
        <v>-4.5625489498420002</v>
      </c>
      <c r="G11" s="40">
        <f>-23-G28</f>
        <v>-23</v>
      </c>
      <c r="H11" s="40">
        <f>-9-H28</f>
        <v>-9</v>
      </c>
      <c r="I11" s="40">
        <v>-19</v>
      </c>
      <c r="J11" s="40">
        <v>72</v>
      </c>
      <c r="K11" s="40">
        <v>-531</v>
      </c>
      <c r="L11" s="40">
        <f t="shared" si="0"/>
        <v>-603</v>
      </c>
      <c r="M11" s="88"/>
      <c r="N11" s="40">
        <v>-24</v>
      </c>
      <c r="O11" s="40">
        <v>-39</v>
      </c>
      <c r="P11" s="40">
        <f t="shared" si="2"/>
        <v>-15</v>
      </c>
    </row>
    <row r="12" spans="2:16" x14ac:dyDescent="0.35">
      <c r="B12" s="12" t="s">
        <v>21</v>
      </c>
      <c r="C12" s="42">
        <f>SUM(C4:C7,C11)</f>
        <v>145.25000000000028</v>
      </c>
      <c r="D12" s="42">
        <f>SUM(D4:D7,D11)</f>
        <v>279.72105682426155</v>
      </c>
      <c r="E12" s="42">
        <f>SUM(E4:E7,E11)</f>
        <v>289.92115143390896</v>
      </c>
      <c r="F12" s="42">
        <f>SUM(F4:F7,F11)</f>
        <v>246.7801023475424</v>
      </c>
      <c r="G12" s="42">
        <f>SUM(G4:G7,G11)</f>
        <v>387</v>
      </c>
      <c r="H12" s="42">
        <f>SUM(H4:H7,H11)</f>
        <v>558</v>
      </c>
      <c r="I12" s="42">
        <f>SUM(I4:I7,I11)</f>
        <v>876</v>
      </c>
      <c r="J12" s="42">
        <f>SUM(J4:J7,J11)</f>
        <v>962</v>
      </c>
      <c r="K12" s="42">
        <f>SUM(K4:K7,K11)</f>
        <v>2637</v>
      </c>
      <c r="L12" s="42">
        <f t="shared" si="0"/>
        <v>1675</v>
      </c>
      <c r="M12" s="43"/>
      <c r="N12" s="42">
        <f>SUM(N4:N7,N11)</f>
        <v>521</v>
      </c>
      <c r="O12" s="42">
        <f>SUM(O4:O7,O11)</f>
        <v>809</v>
      </c>
      <c r="P12" s="42">
        <f t="shared" si="2"/>
        <v>288</v>
      </c>
    </row>
    <row r="13" spans="2:16" x14ac:dyDescent="0.35">
      <c r="B13" s="10" t="s">
        <v>64</v>
      </c>
      <c r="C13" s="44">
        <v>-94.125463529883277</v>
      </c>
      <c r="D13" s="44">
        <v>84.147117730128457</v>
      </c>
      <c r="E13" s="44">
        <v>-101.23108797954657</v>
      </c>
      <c r="F13" s="45">
        <v>14</v>
      </c>
      <c r="G13" s="45">
        <v>-454</v>
      </c>
      <c r="H13" s="45">
        <v>811</v>
      </c>
      <c r="I13" s="40">
        <v>-119</v>
      </c>
      <c r="J13" s="40">
        <v>-2029</v>
      </c>
      <c r="K13" s="40">
        <v>6711</v>
      </c>
      <c r="L13" s="45">
        <f t="shared" si="0"/>
        <v>8740</v>
      </c>
      <c r="M13" s="43"/>
      <c r="N13" s="40">
        <v>-2800</v>
      </c>
      <c r="O13" s="40">
        <v>1988.1407821910639</v>
      </c>
      <c r="P13" s="45">
        <f t="shared" si="2"/>
        <v>4788.1407821910634</v>
      </c>
    </row>
    <row r="14" spans="2:16" x14ac:dyDescent="0.35">
      <c r="B14" s="10" t="s">
        <v>65</v>
      </c>
      <c r="C14" s="44">
        <v>50.718258292059382</v>
      </c>
      <c r="D14" s="44">
        <v>62.977060449999662</v>
      </c>
      <c r="E14" s="44">
        <v>75.537088250000323</v>
      </c>
      <c r="F14" s="45">
        <v>140.46049025315006</v>
      </c>
      <c r="G14" s="45">
        <v>246</v>
      </c>
      <c r="H14" s="45">
        <v>64</v>
      </c>
      <c r="I14" s="40">
        <v>-25</v>
      </c>
      <c r="J14" s="40">
        <v>-39</v>
      </c>
      <c r="K14" s="40">
        <v>324</v>
      </c>
      <c r="L14" s="45">
        <f t="shared" si="0"/>
        <v>363</v>
      </c>
      <c r="M14" s="43"/>
      <c r="N14" s="40">
        <v>239</v>
      </c>
      <c r="O14" s="40">
        <v>219.17194181000079</v>
      </c>
      <c r="P14" s="45">
        <f t="shared" si="2"/>
        <v>-19.828058189999211</v>
      </c>
    </row>
    <row r="15" spans="2:16" x14ac:dyDescent="0.35">
      <c r="B15" s="10" t="s">
        <v>66</v>
      </c>
      <c r="C15" s="44">
        <v>-8.2237827219789352</v>
      </c>
      <c r="D15" s="44">
        <v>39.088979237840363</v>
      </c>
      <c r="E15" s="44">
        <v>93.439336224535054</v>
      </c>
      <c r="F15" s="45">
        <v>-72.272592600692462</v>
      </c>
      <c r="G15" s="45">
        <f>-317-G30</f>
        <v>-269</v>
      </c>
      <c r="H15" s="45">
        <f>342-H30</f>
        <v>339</v>
      </c>
      <c r="I15" s="40">
        <v>51</v>
      </c>
      <c r="J15" s="40">
        <v>912.93003121627225</v>
      </c>
      <c r="K15" s="40">
        <v>-4353</v>
      </c>
      <c r="L15" s="45">
        <f t="shared" si="0"/>
        <v>-5265.9300312162723</v>
      </c>
      <c r="M15" s="43"/>
      <c r="N15" s="40">
        <v>-1558</v>
      </c>
      <c r="O15" s="40">
        <v>592.52607601901946</v>
      </c>
      <c r="P15" s="45">
        <f t="shared" si="2"/>
        <v>2150.5260760190195</v>
      </c>
    </row>
    <row r="16" spans="2:16" x14ac:dyDescent="0.35">
      <c r="B16" s="12" t="s">
        <v>41</v>
      </c>
      <c r="C16" s="42">
        <f t="shared" ref="C16:H16" si="5">SUM(C12:C15)</f>
        <v>93.619012040197461</v>
      </c>
      <c r="D16" s="42">
        <f t="shared" si="5"/>
        <v>465.93421424223004</v>
      </c>
      <c r="E16" s="42">
        <f t="shared" si="5"/>
        <v>357.66648792889777</v>
      </c>
      <c r="F16" s="42">
        <f t="shared" si="5"/>
        <v>328.96800000000002</v>
      </c>
      <c r="G16" s="42">
        <f t="shared" si="5"/>
        <v>-90</v>
      </c>
      <c r="H16" s="42">
        <f t="shared" si="5"/>
        <v>1772</v>
      </c>
      <c r="I16" s="42">
        <f t="shared" ref="I16:K16" si="6">SUM(I12:I15)</f>
        <v>783</v>
      </c>
      <c r="J16" s="42">
        <f t="shared" si="6"/>
        <v>-193.06996878372775</v>
      </c>
      <c r="K16" s="42">
        <f t="shared" si="6"/>
        <v>5319</v>
      </c>
      <c r="L16" s="42">
        <f t="shared" si="0"/>
        <v>5512.0699687837277</v>
      </c>
      <c r="M16" s="43"/>
      <c r="N16" s="42">
        <f t="shared" ref="N16:O16" si="7">SUM(N12:N15)</f>
        <v>-3598</v>
      </c>
      <c r="O16" s="42">
        <f t="shared" si="7"/>
        <v>3608.8388000200839</v>
      </c>
      <c r="P16" s="42">
        <f t="shared" si="2"/>
        <v>7206.8388000200839</v>
      </c>
    </row>
    <row r="17" spans="2:16" x14ac:dyDescent="0.35">
      <c r="B17" s="10" t="s">
        <v>42</v>
      </c>
      <c r="C17" s="46">
        <v>-45.805712960197368</v>
      </c>
      <c r="D17" s="46">
        <v>-45.947109931561464</v>
      </c>
      <c r="E17" s="46">
        <v>-35.093000000000004</v>
      </c>
      <c r="F17" s="40">
        <v>-29.882000000000001</v>
      </c>
      <c r="G17" s="45">
        <f>-33-5-G32</f>
        <v>-32</v>
      </c>
      <c r="H17" s="45">
        <f>-47-4-H32</f>
        <v>-47</v>
      </c>
      <c r="I17" s="40">
        <v>-38</v>
      </c>
      <c r="J17" s="40">
        <v>-37</v>
      </c>
      <c r="K17" s="40">
        <v>-133</v>
      </c>
      <c r="L17" s="40">
        <f t="shared" si="0"/>
        <v>-96</v>
      </c>
      <c r="M17" s="88"/>
      <c r="N17" s="40">
        <v>-26</v>
      </c>
      <c r="O17" s="40">
        <v>-32.744</v>
      </c>
      <c r="P17" s="40">
        <f t="shared" si="2"/>
        <v>-6.7439999999999998</v>
      </c>
    </row>
    <row r="18" spans="2:16" x14ac:dyDescent="0.35">
      <c r="B18" s="12" t="s">
        <v>43</v>
      </c>
      <c r="C18" s="42">
        <f t="shared" ref="C18:H18" si="8">SUM(C16:C17)</f>
        <v>47.813299080000093</v>
      </c>
      <c r="D18" s="42">
        <f t="shared" si="8"/>
        <v>419.9871043106686</v>
      </c>
      <c r="E18" s="42">
        <f t="shared" si="8"/>
        <v>322.57348792889775</v>
      </c>
      <c r="F18" s="42">
        <f t="shared" si="8"/>
        <v>299.08600000000001</v>
      </c>
      <c r="G18" s="42">
        <f t="shared" si="8"/>
        <v>-122</v>
      </c>
      <c r="H18" s="42">
        <f t="shared" si="8"/>
        <v>1725</v>
      </c>
      <c r="I18" s="42">
        <f>SUM(I16:I17)</f>
        <v>745</v>
      </c>
      <c r="J18" s="42">
        <f>SUM(J16:J17)</f>
        <v>-230.06996878372775</v>
      </c>
      <c r="K18" s="42">
        <f>SUM(K16:K17)</f>
        <v>5186</v>
      </c>
      <c r="L18" s="42">
        <f t="shared" si="0"/>
        <v>5416.0699687837277</v>
      </c>
      <c r="M18" s="43"/>
      <c r="N18" s="42">
        <f>SUM(N16:N17)</f>
        <v>-3624</v>
      </c>
      <c r="O18" s="42">
        <f>SUM(O16:O17)</f>
        <v>3576.0948000200838</v>
      </c>
      <c r="P18" s="42">
        <f t="shared" si="2"/>
        <v>7200.0948000200842</v>
      </c>
    </row>
    <row r="20" spans="2:16" x14ac:dyDescent="0.35">
      <c r="B20" s="16"/>
      <c r="C20" s="28"/>
      <c r="D20" s="47"/>
      <c r="E20" s="47"/>
      <c r="F20" s="47"/>
      <c r="G20" s="47"/>
      <c r="H20" s="47"/>
      <c r="I20" s="47"/>
      <c r="J20" s="47"/>
      <c r="K20" s="47"/>
      <c r="L20" s="47"/>
      <c r="N20" s="47"/>
      <c r="O20" s="47"/>
      <c r="P20" s="47"/>
    </row>
    <row r="21" spans="2:16" x14ac:dyDescent="0.35">
      <c r="B21" s="35" t="s">
        <v>67</v>
      </c>
      <c r="C21" s="36"/>
      <c r="D21" s="36"/>
      <c r="E21" s="36"/>
      <c r="F21" s="36"/>
      <c r="G21" s="36"/>
      <c r="H21" s="36"/>
      <c r="I21" s="36"/>
      <c r="J21" s="36"/>
      <c r="K21" s="36"/>
      <c r="L21" s="5" t="s">
        <v>55</v>
      </c>
      <c r="M21" s="37"/>
      <c r="N21" s="36" t="s">
        <v>128</v>
      </c>
      <c r="O21" s="36" t="s">
        <v>128</v>
      </c>
      <c r="P21" s="5" t="s">
        <v>55</v>
      </c>
    </row>
    <row r="22" spans="2:16" ht="15" thickBot="1" x14ac:dyDescent="0.4">
      <c r="B22" s="38" t="s">
        <v>57</v>
      </c>
      <c r="C22" s="39">
        <v>2014</v>
      </c>
      <c r="D22" s="39">
        <v>2015</v>
      </c>
      <c r="E22" s="39">
        <v>2016</v>
      </c>
      <c r="F22" s="39">
        <v>2017</v>
      </c>
      <c r="G22" s="39">
        <v>2018</v>
      </c>
      <c r="H22" s="39">
        <v>2019</v>
      </c>
      <c r="I22" s="8">
        <v>2020</v>
      </c>
      <c r="J22" s="8">
        <v>2021</v>
      </c>
      <c r="K22" s="8">
        <v>2022</v>
      </c>
      <c r="L22" s="8" t="str">
        <f>L3</f>
        <v>21-22</v>
      </c>
      <c r="M22" s="37"/>
      <c r="N22" s="8">
        <v>2022</v>
      </c>
      <c r="O22" s="8">
        <v>2023</v>
      </c>
      <c r="P22" s="8" t="s">
        <v>127</v>
      </c>
    </row>
    <row r="23" spans="2:16" x14ac:dyDescent="0.35">
      <c r="B23" s="16" t="s">
        <v>4</v>
      </c>
      <c r="C23" s="41" t="s">
        <v>1</v>
      </c>
      <c r="D23" s="41" t="s">
        <v>1</v>
      </c>
      <c r="E23" s="41" t="s">
        <v>1</v>
      </c>
      <c r="F23" s="41" t="s">
        <v>1</v>
      </c>
      <c r="G23" s="45">
        <v>16</v>
      </c>
      <c r="H23" s="45">
        <v>22</v>
      </c>
      <c r="I23" s="40">
        <v>26</v>
      </c>
      <c r="J23" s="40">
        <v>180</v>
      </c>
      <c r="K23" s="40">
        <v>234</v>
      </c>
      <c r="L23" s="45">
        <f t="shared" ref="L23:L33" si="9">K23-J23</f>
        <v>54</v>
      </c>
      <c r="M23" s="43"/>
      <c r="N23" s="40">
        <v>41</v>
      </c>
      <c r="O23" s="40">
        <v>72</v>
      </c>
      <c r="P23" s="45">
        <f t="shared" ref="P23:P33" si="10">O23-N23</f>
        <v>31</v>
      </c>
    </row>
    <row r="24" spans="2:16" x14ac:dyDescent="0.35">
      <c r="B24" s="16" t="s">
        <v>5</v>
      </c>
      <c r="C24" s="41" t="s">
        <v>1</v>
      </c>
      <c r="D24" s="41" t="s">
        <v>1</v>
      </c>
      <c r="E24" s="41" t="s">
        <v>1</v>
      </c>
      <c r="F24" s="41" t="s">
        <v>1</v>
      </c>
      <c r="G24" s="45">
        <v>-5</v>
      </c>
      <c r="H24" s="45">
        <v>-3</v>
      </c>
      <c r="I24" s="40">
        <v>-5</v>
      </c>
      <c r="J24" s="40">
        <v>-75</v>
      </c>
      <c r="K24" s="40">
        <v>-74</v>
      </c>
      <c r="L24" s="45">
        <f t="shared" si="9"/>
        <v>1</v>
      </c>
      <c r="M24" s="43"/>
      <c r="N24" s="40">
        <v>-5</v>
      </c>
      <c r="O24" s="40">
        <v>-57</v>
      </c>
      <c r="P24" s="45">
        <f t="shared" si="10"/>
        <v>-52</v>
      </c>
    </row>
    <row r="25" spans="2:16" x14ac:dyDescent="0.35">
      <c r="B25" s="12" t="s">
        <v>68</v>
      </c>
      <c r="C25" s="48" t="s">
        <v>1</v>
      </c>
      <c r="D25" s="48" t="s">
        <v>1</v>
      </c>
      <c r="E25" s="48" t="s">
        <v>1</v>
      </c>
      <c r="F25" s="48" t="s">
        <v>1</v>
      </c>
      <c r="G25" s="42">
        <f t="shared" ref="G25:J25" si="11">SUM(G23:G24)</f>
        <v>11</v>
      </c>
      <c r="H25" s="42">
        <f t="shared" si="11"/>
        <v>19</v>
      </c>
      <c r="I25" s="42">
        <f t="shared" si="11"/>
        <v>21</v>
      </c>
      <c r="J25" s="42">
        <f t="shared" si="11"/>
        <v>105</v>
      </c>
      <c r="K25" s="42">
        <f t="shared" ref="K25" si="12">SUM(K23:K24)</f>
        <v>160</v>
      </c>
      <c r="L25" s="42">
        <f t="shared" si="9"/>
        <v>55</v>
      </c>
      <c r="M25" s="43"/>
      <c r="N25" s="42">
        <f t="shared" ref="N25:O25" si="13">SUM(N23:N24)</f>
        <v>36</v>
      </c>
      <c r="O25" s="42">
        <f t="shared" si="13"/>
        <v>15</v>
      </c>
      <c r="P25" s="42">
        <f t="shared" si="10"/>
        <v>-21</v>
      </c>
    </row>
    <row r="26" spans="2:16" x14ac:dyDescent="0.35">
      <c r="B26" t="s">
        <v>7</v>
      </c>
      <c r="C26" s="41" t="s">
        <v>1</v>
      </c>
      <c r="D26" s="41" t="s">
        <v>1</v>
      </c>
      <c r="E26" s="41" t="s">
        <v>1</v>
      </c>
      <c r="F26" s="41" t="s">
        <v>1</v>
      </c>
      <c r="G26" s="45">
        <v>-8</v>
      </c>
      <c r="H26" s="45">
        <v>-18</v>
      </c>
      <c r="I26" s="40">
        <v>-16</v>
      </c>
      <c r="J26" s="40">
        <v>-23</v>
      </c>
      <c r="K26" s="40">
        <v>-84</v>
      </c>
      <c r="L26" s="45">
        <f t="shared" si="9"/>
        <v>-61</v>
      </c>
      <c r="M26" s="43"/>
      <c r="N26" s="40">
        <v>-9</v>
      </c>
      <c r="O26" s="40">
        <v>-35</v>
      </c>
      <c r="P26" s="45">
        <f t="shared" si="10"/>
        <v>-26</v>
      </c>
    </row>
    <row r="27" spans="2:16" x14ac:dyDescent="0.35">
      <c r="B27" t="s">
        <v>61</v>
      </c>
      <c r="C27" s="41" t="s">
        <v>1</v>
      </c>
      <c r="D27" s="41" t="s">
        <v>1</v>
      </c>
      <c r="E27" s="41" t="s">
        <v>1</v>
      </c>
      <c r="F27" s="41" t="s">
        <v>1</v>
      </c>
      <c r="G27" s="45">
        <v>0</v>
      </c>
      <c r="H27" s="45">
        <v>0</v>
      </c>
      <c r="I27" s="40">
        <v>-2</v>
      </c>
      <c r="J27" s="40">
        <v>-2</v>
      </c>
      <c r="K27" s="40">
        <v>-3</v>
      </c>
      <c r="L27" s="45">
        <f t="shared" si="9"/>
        <v>-1</v>
      </c>
      <c r="M27" s="43"/>
      <c r="N27" s="40">
        <v>-3</v>
      </c>
      <c r="O27" s="40" t="s">
        <v>1</v>
      </c>
      <c r="P27" s="45">
        <f>-N27</f>
        <v>3</v>
      </c>
    </row>
    <row r="28" spans="2:16" x14ac:dyDescent="0.35">
      <c r="B28" t="s">
        <v>31</v>
      </c>
      <c r="C28" s="41" t="s">
        <v>1</v>
      </c>
      <c r="D28" s="41" t="s">
        <v>1</v>
      </c>
      <c r="E28" s="41" t="s">
        <v>1</v>
      </c>
      <c r="F28" s="41" t="s">
        <v>1</v>
      </c>
      <c r="G28" s="45">
        <v>0</v>
      </c>
      <c r="H28" s="45">
        <v>0</v>
      </c>
      <c r="I28" s="40">
        <v>0</v>
      </c>
      <c r="J28" s="40">
        <v>-45</v>
      </c>
      <c r="K28" s="40">
        <v>-64</v>
      </c>
      <c r="L28" s="45">
        <f t="shared" si="9"/>
        <v>-19</v>
      </c>
      <c r="M28" s="43"/>
      <c r="N28" s="40">
        <v>-7</v>
      </c>
      <c r="O28" s="40">
        <v>-15</v>
      </c>
      <c r="P28" s="45">
        <f t="shared" si="10"/>
        <v>-8</v>
      </c>
    </row>
    <row r="29" spans="2:16" x14ac:dyDescent="0.35">
      <c r="B29" s="12" t="s">
        <v>21</v>
      </c>
      <c r="C29" s="48" t="s">
        <v>1</v>
      </c>
      <c r="D29" s="48" t="s">
        <v>1</v>
      </c>
      <c r="E29" s="48" t="s">
        <v>1</v>
      </c>
      <c r="F29" s="48" t="s">
        <v>1</v>
      </c>
      <c r="G29" s="42">
        <f t="shared" ref="G29:J29" si="14">SUM(G25:G28)</f>
        <v>3</v>
      </c>
      <c r="H29" s="42">
        <f t="shared" si="14"/>
        <v>1</v>
      </c>
      <c r="I29" s="42">
        <f t="shared" si="14"/>
        <v>3</v>
      </c>
      <c r="J29" s="42">
        <f t="shared" si="14"/>
        <v>35</v>
      </c>
      <c r="K29" s="42">
        <f t="shared" ref="K29" si="15">SUM(K25:K28)</f>
        <v>9</v>
      </c>
      <c r="L29" s="42">
        <f t="shared" si="9"/>
        <v>-26</v>
      </c>
      <c r="M29" s="43"/>
      <c r="N29" s="42">
        <f t="shared" ref="N29:O29" si="16">SUM(N25:N28)</f>
        <v>17</v>
      </c>
      <c r="O29" s="42">
        <f t="shared" si="16"/>
        <v>-35</v>
      </c>
      <c r="P29" s="42">
        <f t="shared" si="10"/>
        <v>-52</v>
      </c>
    </row>
    <row r="30" spans="2:16" x14ac:dyDescent="0.35">
      <c r="B30" s="10" t="s">
        <v>66</v>
      </c>
      <c r="C30" s="41" t="s">
        <v>1</v>
      </c>
      <c r="D30" s="41" t="s">
        <v>1</v>
      </c>
      <c r="E30" s="41" t="s">
        <v>1</v>
      </c>
      <c r="F30" s="41" t="s">
        <v>1</v>
      </c>
      <c r="G30" s="40">
        <f>G31-G29</f>
        <v>-48</v>
      </c>
      <c r="H30" s="40">
        <f>H31-H29</f>
        <v>3</v>
      </c>
      <c r="I30" s="40">
        <f>I31-I29</f>
        <v>-5</v>
      </c>
      <c r="J30" s="40">
        <v>-70</v>
      </c>
      <c r="K30" s="40">
        <f>K31-K29</f>
        <v>-201</v>
      </c>
      <c r="L30" s="45">
        <f t="shared" si="9"/>
        <v>-131</v>
      </c>
      <c r="M30" s="43"/>
      <c r="N30" s="40">
        <v>-43</v>
      </c>
      <c r="O30" s="40">
        <v>-194</v>
      </c>
      <c r="P30" s="45">
        <f t="shared" si="10"/>
        <v>-151</v>
      </c>
    </row>
    <row r="31" spans="2:16" x14ac:dyDescent="0.35">
      <c r="B31" s="12" t="s">
        <v>41</v>
      </c>
      <c r="C31" s="48" t="s">
        <v>1</v>
      </c>
      <c r="D31" s="48" t="s">
        <v>1</v>
      </c>
      <c r="E31" s="48" t="s">
        <v>1</v>
      </c>
      <c r="F31" s="48" t="s">
        <v>1</v>
      </c>
      <c r="G31" s="42">
        <v>-45</v>
      </c>
      <c r="H31" s="42">
        <v>4</v>
      </c>
      <c r="I31" s="42">
        <v>-2</v>
      </c>
      <c r="J31" s="42">
        <v>-35</v>
      </c>
      <c r="K31" s="42">
        <v>-192</v>
      </c>
      <c r="L31" s="42">
        <f t="shared" si="9"/>
        <v>-157</v>
      </c>
      <c r="M31" s="43"/>
      <c r="N31" s="42">
        <f>SUM(N29:N30)</f>
        <v>-26</v>
      </c>
      <c r="O31" s="42">
        <f>SUM(O29:O30)</f>
        <v>-229</v>
      </c>
      <c r="P31" s="42">
        <f t="shared" si="10"/>
        <v>-203</v>
      </c>
    </row>
    <row r="32" spans="2:16" x14ac:dyDescent="0.35">
      <c r="B32" s="10" t="s">
        <v>42</v>
      </c>
      <c r="C32" s="41" t="s">
        <v>1</v>
      </c>
      <c r="D32" s="41" t="s">
        <v>1</v>
      </c>
      <c r="E32" s="41" t="s">
        <v>1</v>
      </c>
      <c r="F32" s="41" t="s">
        <v>1</v>
      </c>
      <c r="G32" s="45">
        <v>-6</v>
      </c>
      <c r="H32" s="45">
        <v>-4</v>
      </c>
      <c r="I32" s="40">
        <v>-1</v>
      </c>
      <c r="J32" s="40">
        <v>-49</v>
      </c>
      <c r="K32" s="40">
        <v>-90</v>
      </c>
      <c r="L32" s="45">
        <f t="shared" si="9"/>
        <v>-41</v>
      </c>
      <c r="M32" s="43"/>
      <c r="N32" s="40">
        <v>-22</v>
      </c>
      <c r="O32" s="40">
        <v>-118</v>
      </c>
      <c r="P32" s="45">
        <f t="shared" si="10"/>
        <v>-96</v>
      </c>
    </row>
    <row r="33" spans="2:16" x14ac:dyDescent="0.35">
      <c r="B33" s="12" t="s">
        <v>43</v>
      </c>
      <c r="C33" s="48" t="s">
        <v>1</v>
      </c>
      <c r="D33" s="48" t="s">
        <v>1</v>
      </c>
      <c r="E33" s="48" t="s">
        <v>1</v>
      </c>
      <c r="F33" s="48" t="s">
        <v>1</v>
      </c>
      <c r="G33" s="42">
        <f t="shared" ref="G33:J33" si="17">SUM(G31:G32)</f>
        <v>-51</v>
      </c>
      <c r="H33" s="42">
        <f t="shared" si="17"/>
        <v>0</v>
      </c>
      <c r="I33" s="42">
        <f t="shared" si="17"/>
        <v>-3</v>
      </c>
      <c r="J33" s="42">
        <f t="shared" si="17"/>
        <v>-84</v>
      </c>
      <c r="K33" s="42">
        <f t="shared" ref="K33" si="18">SUM(K31:K32)</f>
        <v>-282</v>
      </c>
      <c r="L33" s="42">
        <f t="shared" si="9"/>
        <v>-198</v>
      </c>
      <c r="M33" s="43"/>
      <c r="N33" s="42">
        <f t="shared" ref="N33:O33" si="19">SUM(N31:N32)</f>
        <v>-48</v>
      </c>
      <c r="O33" s="42">
        <f t="shared" si="19"/>
        <v>-347</v>
      </c>
      <c r="P33" s="42">
        <f t="shared" si="10"/>
        <v>-299</v>
      </c>
    </row>
    <row r="34" spans="2:16" x14ac:dyDescent="0.35">
      <c r="B34" s="16"/>
      <c r="C34" s="28"/>
      <c r="D34" s="47"/>
      <c r="E34" s="47"/>
      <c r="F34" s="47"/>
      <c r="G34" s="47"/>
      <c r="H34" s="47"/>
      <c r="I34" s="47"/>
      <c r="J34" s="47"/>
      <c r="K34" s="47"/>
      <c r="L34" s="47"/>
      <c r="N34" s="47"/>
      <c r="O34" s="47"/>
      <c r="P34" s="47"/>
    </row>
    <row r="35" spans="2:16" x14ac:dyDescent="0.35">
      <c r="B35" s="16"/>
      <c r="C35" s="28"/>
      <c r="D35" s="47"/>
      <c r="E35" s="47"/>
      <c r="F35" s="47"/>
      <c r="G35" s="47"/>
      <c r="H35" s="47"/>
      <c r="I35" s="47"/>
      <c r="J35" s="47"/>
      <c r="K35" s="47"/>
      <c r="L35" s="47"/>
      <c r="N35" s="47"/>
      <c r="O35" s="47"/>
      <c r="P35" s="47"/>
    </row>
    <row r="36" spans="2:16" x14ac:dyDescent="0.35">
      <c r="B36" s="35" t="s">
        <v>69</v>
      </c>
      <c r="C36" s="36"/>
      <c r="D36" s="36"/>
      <c r="E36" s="36"/>
      <c r="F36" s="36"/>
      <c r="G36" s="36"/>
      <c r="H36" s="36"/>
      <c r="I36" s="36"/>
      <c r="J36" s="36"/>
      <c r="K36" s="36"/>
      <c r="L36" s="5" t="s">
        <v>55</v>
      </c>
      <c r="M36" s="37"/>
      <c r="N36" s="36" t="s">
        <v>128</v>
      </c>
      <c r="O36" s="36" t="s">
        <v>128</v>
      </c>
      <c r="P36" s="5" t="s">
        <v>55</v>
      </c>
    </row>
    <row r="37" spans="2:16" ht="15" thickBot="1" x14ac:dyDescent="0.4">
      <c r="B37" s="38" t="s">
        <v>70</v>
      </c>
      <c r="C37" s="39">
        <v>2014</v>
      </c>
      <c r="D37" s="39">
        <v>2015</v>
      </c>
      <c r="E37" s="39">
        <v>2016</v>
      </c>
      <c r="F37" s="39">
        <v>2017</v>
      </c>
      <c r="G37" s="39">
        <v>2018</v>
      </c>
      <c r="H37" s="39">
        <v>2019</v>
      </c>
      <c r="I37" s="8">
        <v>2020</v>
      </c>
      <c r="J37" s="8">
        <v>2021</v>
      </c>
      <c r="K37" s="8">
        <v>2022</v>
      </c>
      <c r="L37" s="9" t="str">
        <f>L3</f>
        <v>21-22</v>
      </c>
      <c r="M37" s="37"/>
      <c r="N37" s="8">
        <v>2022</v>
      </c>
      <c r="O37" s="8">
        <v>2023</v>
      </c>
      <c r="P37" s="9" t="s">
        <v>127</v>
      </c>
    </row>
    <row r="38" spans="2:16" x14ac:dyDescent="0.35">
      <c r="B38" s="12" t="s">
        <v>71</v>
      </c>
      <c r="C38" s="49">
        <v>37.245713618483506</v>
      </c>
      <c r="D38" s="49">
        <v>39.558602184691004</v>
      </c>
      <c r="E38" s="49">
        <v>32.903756477842002</v>
      </c>
      <c r="F38" s="49">
        <v>35.228710832170989</v>
      </c>
      <c r="G38" s="49">
        <v>41.1</v>
      </c>
      <c r="H38" s="49">
        <v>36.132996654258996</v>
      </c>
      <c r="I38" s="49">
        <f t="shared" ref="I38:K38" si="20">SUM(I39,I40)</f>
        <v>34.025807318312005</v>
      </c>
      <c r="J38" s="49">
        <f t="shared" si="20"/>
        <v>35.812751122135055</v>
      </c>
      <c r="K38" s="49">
        <f t="shared" si="20"/>
        <v>39.224079315984909</v>
      </c>
      <c r="L38" s="49">
        <f t="shared" ref="L38:L47" si="21">K38-J38</f>
        <v>3.4113281938498545</v>
      </c>
      <c r="M38" s="26"/>
      <c r="N38" s="49">
        <f t="shared" ref="N38:O38" si="22">SUM(N39,N40)</f>
        <v>10.490159999999999</v>
      </c>
      <c r="O38" s="49">
        <f t="shared" si="22"/>
        <v>10.45768912402557</v>
      </c>
      <c r="P38" s="49">
        <f t="shared" ref="P38:P46" si="23">O38-N38</f>
        <v>-3.2470875974428992E-2</v>
      </c>
    </row>
    <row r="39" spans="2:16" x14ac:dyDescent="0.35">
      <c r="B39" s="29" t="s">
        <v>72</v>
      </c>
      <c r="C39" s="50">
        <v>28.962274929221586</v>
      </c>
      <c r="D39" s="50">
        <v>27.349812704372003</v>
      </c>
      <c r="E39" s="50">
        <v>20.874515424179002</v>
      </c>
      <c r="F39" s="50">
        <v>24.291999056274001</v>
      </c>
      <c r="G39" s="50">
        <v>37.1</v>
      </c>
      <c r="H39" s="50">
        <v>32.377175923458999</v>
      </c>
      <c r="I39" s="50">
        <v>25.880518444320998</v>
      </c>
      <c r="J39" s="50">
        <v>23.318894698452002</v>
      </c>
      <c r="K39" s="50">
        <v>27.537362506451998</v>
      </c>
      <c r="L39" s="50">
        <f t="shared" si="21"/>
        <v>4.2184678079999962</v>
      </c>
      <c r="M39" s="26"/>
      <c r="N39" s="50">
        <v>7.4445699999999997</v>
      </c>
      <c r="O39" s="50">
        <v>7.6439744672135932</v>
      </c>
      <c r="P39" s="50">
        <f t="shared" si="23"/>
        <v>0.19940446721359351</v>
      </c>
    </row>
    <row r="40" spans="2:16" x14ac:dyDescent="0.35">
      <c r="B40" s="29" t="s">
        <v>73</v>
      </c>
      <c r="C40" s="50">
        <v>8.2834386892619207</v>
      </c>
      <c r="D40" s="50">
        <v>12.208789480319004</v>
      </c>
      <c r="E40" s="50">
        <v>12.029241053663002</v>
      </c>
      <c r="F40" s="50">
        <v>10.936711775896992</v>
      </c>
      <c r="G40" s="50">
        <v>4</v>
      </c>
      <c r="H40" s="50">
        <v>3.7558207307999991</v>
      </c>
      <c r="I40" s="50">
        <f>SUM(I41:I42)</f>
        <v>8.1452888739910048</v>
      </c>
      <c r="J40" s="50">
        <f>SUM(J41:J42)</f>
        <v>12.493856423683049</v>
      </c>
      <c r="K40" s="50">
        <f>SUM(K41:K42)</f>
        <v>11.686716809532911</v>
      </c>
      <c r="L40" s="50">
        <f t="shared" si="21"/>
        <v>-0.80713961415013813</v>
      </c>
      <c r="M40" s="26"/>
      <c r="N40" s="50">
        <f>SUM(N41:N42)</f>
        <v>3.0455900000000002</v>
      </c>
      <c r="O40" s="50">
        <f t="shared" ref="O40" si="24">SUM(O41:O42)</f>
        <v>2.8137146568119777</v>
      </c>
      <c r="P40" s="50">
        <f t="shared" si="23"/>
        <v>-0.2318753431880225</v>
      </c>
    </row>
    <row r="41" spans="2:16" x14ac:dyDescent="0.35">
      <c r="B41" s="51" t="s">
        <v>74</v>
      </c>
      <c r="C41" s="50" t="s">
        <v>124</v>
      </c>
      <c r="D41" s="50">
        <v>8.9063157106120006</v>
      </c>
      <c r="E41" s="50">
        <v>7.1950076682160011</v>
      </c>
      <c r="F41" s="50">
        <v>3.3364558057319993</v>
      </c>
      <c r="G41" s="50">
        <v>2.9</v>
      </c>
      <c r="H41" s="50">
        <v>3.5907539999558415</v>
      </c>
      <c r="I41" s="50">
        <v>6.3704093762012066</v>
      </c>
      <c r="J41" s="50">
        <v>9.269036355767323</v>
      </c>
      <c r="K41" s="50">
        <v>10.331120950407596</v>
      </c>
      <c r="L41" s="50">
        <f t="shared" si="21"/>
        <v>1.0620845946402735</v>
      </c>
      <c r="M41" s="26"/>
      <c r="N41" s="50">
        <v>2.6128400000000003</v>
      </c>
      <c r="O41" s="50">
        <v>2.7962426225153396</v>
      </c>
      <c r="P41" s="50">
        <f t="shared" si="23"/>
        <v>0.18340262251533934</v>
      </c>
    </row>
    <row r="42" spans="2:16" x14ac:dyDescent="0.35">
      <c r="B42" s="51" t="s">
        <v>75</v>
      </c>
      <c r="C42" s="50" t="s">
        <v>124</v>
      </c>
      <c r="D42" s="50">
        <v>3.3024737697070026</v>
      </c>
      <c r="E42" s="50">
        <v>4.8342333854470008</v>
      </c>
      <c r="F42" s="50">
        <v>7.6002559701649934</v>
      </c>
      <c r="G42" s="50">
        <v>1.1000000000000001</v>
      </c>
      <c r="H42" s="50">
        <v>0.16506673084415777</v>
      </c>
      <c r="I42" s="50">
        <v>1.7748794977897988</v>
      </c>
      <c r="J42" s="50">
        <v>3.2248200679157262</v>
      </c>
      <c r="K42" s="50">
        <v>1.3555958591253139</v>
      </c>
      <c r="L42" s="50">
        <f t="shared" si="21"/>
        <v>-1.8692242087904123</v>
      </c>
      <c r="M42" s="26"/>
      <c r="N42" s="50">
        <v>0.43275000000000002</v>
      </c>
      <c r="O42" s="50">
        <v>1.7472034296638319E-2</v>
      </c>
      <c r="P42" s="50">
        <f t="shared" si="23"/>
        <v>-0.41527796570336173</v>
      </c>
    </row>
    <row r="43" spans="2:16" x14ac:dyDescent="0.35">
      <c r="B43" s="12" t="s">
        <v>76</v>
      </c>
      <c r="C43" s="52">
        <v>3.9133322742656317E-2</v>
      </c>
      <c r="D43" s="52">
        <v>4.9333873492460566E-2</v>
      </c>
      <c r="E43" s="52">
        <v>5.4737501573004659E-2</v>
      </c>
      <c r="F43" s="52">
        <v>3.9050053073616864E-2</v>
      </c>
      <c r="G43" s="52">
        <v>5.9027842361998019E-2</v>
      </c>
      <c r="H43" s="83">
        <v>6.0020658875154141E-2</v>
      </c>
      <c r="I43" s="83">
        <v>8.4533157533862424E-2</v>
      </c>
      <c r="J43" s="83">
        <v>5.77895474971293E-2</v>
      </c>
      <c r="K43" s="83">
        <v>6.6424244671782554E-2</v>
      </c>
      <c r="L43" s="83">
        <f t="shared" si="21"/>
        <v>8.6346971746532539E-3</v>
      </c>
      <c r="M43" s="26"/>
      <c r="N43" s="83">
        <v>5.0953899999999996E-2</v>
      </c>
      <c r="O43" s="83">
        <v>6.6636111395508207E-2</v>
      </c>
      <c r="P43" s="83">
        <f t="shared" si="23"/>
        <v>1.5682211395508211E-2</v>
      </c>
    </row>
    <row r="44" spans="2:16" x14ac:dyDescent="0.35">
      <c r="B44" s="29" t="s">
        <v>77</v>
      </c>
      <c r="C44" s="53">
        <v>4.9000000000000002E-2</v>
      </c>
      <c r="D44" s="53">
        <v>5.2999999999999999E-2</v>
      </c>
      <c r="E44" s="53">
        <v>6.828999471259696E-2</v>
      </c>
      <c r="F44" s="53">
        <v>6.4115195796117422E-2</v>
      </c>
      <c r="G44" s="53">
        <v>6.0376249903696826E-2</v>
      </c>
      <c r="H44" s="84">
        <v>5.772503441450276E-2</v>
      </c>
      <c r="I44" s="84">
        <v>6.9048880775099172E-2</v>
      </c>
      <c r="J44" s="84">
        <v>7.7797342225877017E-2</v>
      </c>
      <c r="K44" s="84">
        <v>8.0640317996580613E-2</v>
      </c>
      <c r="L44" s="84">
        <f t="shared" si="21"/>
        <v>2.8429757707035958E-3</v>
      </c>
      <c r="M44" s="26"/>
      <c r="N44" s="84">
        <v>6.0528789390063342E-2</v>
      </c>
      <c r="O44" s="84">
        <v>7.9404332549639828E-2</v>
      </c>
      <c r="P44" s="84">
        <f t="shared" si="23"/>
        <v>1.8875543159576486E-2</v>
      </c>
    </row>
    <row r="45" spans="2:16" x14ac:dyDescent="0.35">
      <c r="B45" s="29" t="s">
        <v>78</v>
      </c>
      <c r="C45" s="53">
        <v>1.5956052107020148E-2</v>
      </c>
      <c r="D45" s="53">
        <v>3.4782791462702335E-2</v>
      </c>
      <c r="E45" s="53">
        <v>6.1844693546392118E-2</v>
      </c>
      <c r="F45" s="53">
        <v>3.4665760081680916E-2</v>
      </c>
      <c r="G45" s="53">
        <v>3.9523182832020894E-2</v>
      </c>
      <c r="H45" s="84">
        <v>6.5470543587143937E-2</v>
      </c>
      <c r="I45" s="84">
        <v>0.12871665987550968</v>
      </c>
      <c r="J45" s="84">
        <v>2.2358776611433869E-2</v>
      </c>
      <c r="K45" s="84">
        <v>4.215119441926226E-2</v>
      </c>
      <c r="L45" s="84">
        <f t="shared" si="21"/>
        <v>1.9792417807828391E-2</v>
      </c>
      <c r="M45" s="26"/>
      <c r="N45" s="84">
        <v>2.3759999999999989E-2</v>
      </c>
      <c r="O45" s="84">
        <v>4.8264154654417309E-2</v>
      </c>
      <c r="P45" s="84">
        <f t="shared" si="23"/>
        <v>2.4504154654417319E-2</v>
      </c>
    </row>
    <row r="46" spans="2:16" x14ac:dyDescent="0.35">
      <c r="B46" s="51" t="s">
        <v>74</v>
      </c>
      <c r="C46" s="53" t="s">
        <v>124</v>
      </c>
      <c r="D46" s="53">
        <v>-2.6981660315782374E-2</v>
      </c>
      <c r="E46" s="53">
        <v>-7.0000000000000001E-3</v>
      </c>
      <c r="F46" s="53">
        <v>1.5093774718429062E-2</v>
      </c>
      <c r="G46" s="53">
        <v>3.1112406761257396E-2</v>
      </c>
      <c r="H46" s="84">
        <v>5.5955058949575705E-2</v>
      </c>
      <c r="I46" s="84">
        <v>9.6848909910970699E-2</v>
      </c>
      <c r="J46" s="84">
        <v>3.5827192967736311E-3</v>
      </c>
      <c r="K46" s="84">
        <v>3.6171686835953551E-2</v>
      </c>
      <c r="L46" s="84">
        <f t="shared" si="21"/>
        <v>3.2588967539179919E-2</v>
      </c>
      <c r="M46" s="26"/>
      <c r="N46" s="84">
        <v>4.0520707545989632E-2</v>
      </c>
      <c r="O46" s="84">
        <v>3.7824240236345369E-2</v>
      </c>
      <c r="P46" s="84">
        <f t="shared" si="23"/>
        <v>-2.6964673096442626E-3</v>
      </c>
    </row>
    <row r="47" spans="2:16" x14ac:dyDescent="0.35">
      <c r="B47" s="51" t="s">
        <v>75</v>
      </c>
      <c r="C47" s="53" t="s">
        <v>124</v>
      </c>
      <c r="D47" s="53">
        <v>0.17530217323365427</v>
      </c>
      <c r="E47" s="53">
        <v>0.15355213882183802</v>
      </c>
      <c r="F47" s="53">
        <v>4.0959191354374008E-2</v>
      </c>
      <c r="G47" s="53">
        <v>6.5729377574179806E-2</v>
      </c>
      <c r="H47" s="84" t="s">
        <v>124</v>
      </c>
      <c r="I47" s="84">
        <v>0.22364562460322399</v>
      </c>
      <c r="J47" s="84">
        <v>7.8918090897997353E-2</v>
      </c>
      <c r="K47" s="84">
        <v>5.8316887396051349E-2</v>
      </c>
      <c r="L47" s="84">
        <f t="shared" si="21"/>
        <v>-2.0601203501946004E-2</v>
      </c>
      <c r="M47" s="26"/>
      <c r="N47" s="84">
        <v>-0.17671234448391793</v>
      </c>
      <c r="O47" s="84" t="s">
        <v>1</v>
      </c>
      <c r="P47" s="84" t="s">
        <v>1</v>
      </c>
    </row>
    <row r="48" spans="2:16" x14ac:dyDescent="0.35">
      <c r="B48" s="54" t="s">
        <v>31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26"/>
      <c r="N48" s="55"/>
      <c r="O48" s="55"/>
      <c r="P48" s="55"/>
    </row>
    <row r="49" spans="2:16" x14ac:dyDescent="0.35">
      <c r="B49" s="56" t="s">
        <v>79</v>
      </c>
      <c r="C49" s="50">
        <v>8.8264359999999993</v>
      </c>
      <c r="D49" s="50">
        <v>8.9264510000000001</v>
      </c>
      <c r="E49" s="50">
        <v>8.9866869999999999</v>
      </c>
      <c r="F49" s="50">
        <v>9.1999999999999993</v>
      </c>
      <c r="G49" s="50">
        <v>9.554451000000002</v>
      </c>
      <c r="H49" s="50">
        <v>9.9399669999999993</v>
      </c>
      <c r="I49" s="50">
        <v>10.1</v>
      </c>
      <c r="J49" s="50">
        <v>10.331613000000001</v>
      </c>
      <c r="K49" s="50">
        <v>10.567378</v>
      </c>
      <c r="L49" s="50">
        <f t="shared" ref="L49:L56" si="25">K49-J49</f>
        <v>0.23576499999999889</v>
      </c>
      <c r="M49" s="26"/>
      <c r="N49" s="50">
        <v>10.38</v>
      </c>
      <c r="O49" s="50">
        <v>10.604894999999999</v>
      </c>
      <c r="P49" s="50">
        <f t="shared" ref="P49:P50" si="26">O49-N49</f>
        <v>0.22489499999999829</v>
      </c>
    </row>
    <row r="50" spans="2:16" x14ac:dyDescent="0.35">
      <c r="B50" s="16" t="s">
        <v>80</v>
      </c>
      <c r="C50" s="53">
        <v>8.9999999999999993E-3</v>
      </c>
      <c r="D50" s="53">
        <v>0.03</v>
      </c>
      <c r="E50" s="53">
        <v>2.9000000000000001E-2</v>
      </c>
      <c r="F50" s="53">
        <v>1.2E-2</v>
      </c>
      <c r="G50" s="53">
        <v>6.0205476142579789E-3</v>
      </c>
      <c r="H50" s="84">
        <v>3.6101046262642012E-4</v>
      </c>
      <c r="I50" s="84">
        <v>6.7619679399469291E-5</v>
      </c>
      <c r="J50" s="84">
        <v>1.6990459527584027E-3</v>
      </c>
      <c r="K50" s="84">
        <v>9.4464176134778806E-4</v>
      </c>
      <c r="L50" s="84">
        <f t="shared" si="25"/>
        <v>-7.5440419141061465E-4</v>
      </c>
      <c r="M50" s="26"/>
      <c r="N50" s="84">
        <v>2.9999999999999997E-4</v>
      </c>
      <c r="O50" s="84">
        <v>1.0204062378028433E-3</v>
      </c>
      <c r="P50" s="84">
        <f t="shared" si="26"/>
        <v>7.2040623780284343E-4</v>
      </c>
    </row>
    <row r="51" spans="2:16" x14ac:dyDescent="0.35">
      <c r="B51" s="54" t="s">
        <v>81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26"/>
      <c r="N51" s="55"/>
      <c r="O51" s="55"/>
      <c r="P51" s="55"/>
    </row>
    <row r="52" spans="2:16" x14ac:dyDescent="0.35">
      <c r="B52" t="s">
        <v>82</v>
      </c>
      <c r="C52" s="41" t="s">
        <v>1</v>
      </c>
      <c r="D52" s="41" t="s">
        <v>1</v>
      </c>
      <c r="E52" s="41" t="s">
        <v>1</v>
      </c>
      <c r="F52" s="57">
        <v>9.1999999999999993</v>
      </c>
      <c r="G52" s="57">
        <v>9.1999999999999993</v>
      </c>
      <c r="H52" s="57">
        <v>9.1999999999999993</v>
      </c>
      <c r="I52" s="57">
        <v>9.1999999999999993</v>
      </c>
      <c r="J52" s="57">
        <v>22.608579999999996</v>
      </c>
      <c r="K52" s="57">
        <v>24.066579999999995</v>
      </c>
      <c r="L52" s="50">
        <f t="shared" si="25"/>
        <v>1.4579999999999984</v>
      </c>
      <c r="M52" s="90"/>
      <c r="N52" s="57">
        <v>22.608579999999996</v>
      </c>
      <c r="O52" s="57">
        <f>K52</f>
        <v>24.066579999999995</v>
      </c>
      <c r="P52" s="50">
        <f t="shared" ref="P52:P53" si="27">O52-N52</f>
        <v>1.4579999999999984</v>
      </c>
    </row>
    <row r="53" spans="2:16" x14ac:dyDescent="0.35">
      <c r="B53" t="s">
        <v>83</v>
      </c>
      <c r="C53" s="41" t="s">
        <v>1</v>
      </c>
      <c r="D53" s="41" t="s">
        <v>1</v>
      </c>
      <c r="E53" s="41" t="s">
        <v>1</v>
      </c>
      <c r="F53">
        <v>3.8</v>
      </c>
      <c r="G53">
        <v>3.8</v>
      </c>
      <c r="H53">
        <v>3.8</v>
      </c>
      <c r="I53">
        <v>3.8</v>
      </c>
      <c r="J53">
        <v>3.8</v>
      </c>
      <c r="K53">
        <v>3.8</v>
      </c>
      <c r="L53" s="50">
        <f t="shared" si="25"/>
        <v>0</v>
      </c>
      <c r="M53" s="90"/>
      <c r="N53">
        <v>3.8</v>
      </c>
      <c r="O53">
        <f>K53</f>
        <v>3.8</v>
      </c>
      <c r="P53" s="50">
        <f t="shared" si="27"/>
        <v>0</v>
      </c>
    </row>
    <row r="54" spans="2:16" x14ac:dyDescent="0.35">
      <c r="B54" s="54" t="s">
        <v>84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26"/>
      <c r="N54" s="55"/>
      <c r="O54" s="55"/>
      <c r="P54" s="55"/>
    </row>
    <row r="55" spans="2:16" x14ac:dyDescent="0.35">
      <c r="B55" s="3" t="s">
        <v>85</v>
      </c>
      <c r="C55" s="41" t="s">
        <v>1</v>
      </c>
      <c r="D55" s="41" t="s">
        <v>1</v>
      </c>
      <c r="E55" s="41" t="s">
        <v>1</v>
      </c>
      <c r="F55">
        <v>131</v>
      </c>
      <c r="G55">
        <v>188</v>
      </c>
      <c r="H55">
        <v>256</v>
      </c>
      <c r="I55">
        <v>301</v>
      </c>
      <c r="J55">
        <v>494</v>
      </c>
      <c r="K55">
        <v>788</v>
      </c>
      <c r="L55" s="40">
        <f t="shared" si="25"/>
        <v>294</v>
      </c>
      <c r="N55">
        <v>501</v>
      </c>
      <c r="O55">
        <v>1030</v>
      </c>
      <c r="P55" s="40">
        <f t="shared" ref="P55:P56" si="28">O55-N55</f>
        <v>529</v>
      </c>
    </row>
    <row r="56" spans="2:16" x14ac:dyDescent="0.35">
      <c r="B56" s="3" t="s">
        <v>86</v>
      </c>
      <c r="C56" s="41" t="s">
        <v>1</v>
      </c>
      <c r="D56" s="41" t="s">
        <v>1</v>
      </c>
      <c r="E56" s="41" t="s">
        <v>1</v>
      </c>
      <c r="F56">
        <v>80</v>
      </c>
      <c r="G56">
        <v>111</v>
      </c>
      <c r="H56">
        <v>147</v>
      </c>
      <c r="I56">
        <v>173</v>
      </c>
      <c r="J56">
        <v>263</v>
      </c>
      <c r="K56">
        <v>422</v>
      </c>
      <c r="L56" s="40">
        <f t="shared" si="25"/>
        <v>159</v>
      </c>
      <c r="N56">
        <v>271</v>
      </c>
      <c r="O56">
        <v>548</v>
      </c>
      <c r="P56" s="40">
        <f t="shared" si="28"/>
        <v>277</v>
      </c>
    </row>
    <row r="57" spans="2:16" x14ac:dyDescent="0.35">
      <c r="B57" s="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pageMargins left="0.25" right="0.25" top="0.75" bottom="0.75" header="0.3" footer="0.3"/>
  <pageSetup paperSize="9" scale="58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66"/>
  <sheetViews>
    <sheetView showGridLines="0" zoomScale="80" zoomScaleNormal="80" workbookViewId="0">
      <pane xSplit="2" ySplit="3" topLeftCell="F4" activePane="bottomRight" state="frozen"/>
      <selection activeCell="O4" sqref="O4"/>
      <selection pane="topRight" activeCell="O4" sqref="O4"/>
      <selection pane="bottomLeft" activeCell="O4" sqref="O4"/>
      <selection pane="bottomRight" activeCell="H36" sqref="H36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2.90625" style="58" customWidth="1"/>
    <col min="14" max="16" width="10.6328125" customWidth="1"/>
  </cols>
  <sheetData>
    <row r="1" spans="2:16" x14ac:dyDescent="0.35">
      <c r="C1" s="1"/>
      <c r="D1" s="1"/>
      <c r="E1" s="1"/>
      <c r="F1" s="2"/>
      <c r="G1" s="2"/>
      <c r="H1" s="2"/>
      <c r="I1" s="2"/>
      <c r="J1" s="2"/>
      <c r="K1" s="2"/>
      <c r="L1" s="2"/>
      <c r="N1" s="2"/>
      <c r="O1" s="2"/>
      <c r="P1" s="2"/>
    </row>
    <row r="2" spans="2:16" x14ac:dyDescent="0.35">
      <c r="B2" s="35" t="s">
        <v>87</v>
      </c>
      <c r="C2" s="36"/>
      <c r="D2" s="36"/>
      <c r="E2" s="36"/>
      <c r="F2" s="36"/>
      <c r="G2" s="36"/>
      <c r="H2" s="36"/>
      <c r="I2" s="5"/>
      <c r="J2" s="5"/>
      <c r="K2" s="5"/>
      <c r="L2" s="5" t="s">
        <v>55</v>
      </c>
      <c r="M2" s="37"/>
      <c r="N2" s="5" t="s">
        <v>128</v>
      </c>
      <c r="O2" s="5" t="s">
        <v>128</v>
      </c>
      <c r="P2" s="5" t="s">
        <v>55</v>
      </c>
    </row>
    <row r="3" spans="2:16" ht="15" thickBot="1" x14ac:dyDescent="0.4">
      <c r="B3" s="38" t="s">
        <v>57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8">
        <v>2021</v>
      </c>
      <c r="K3" s="8">
        <v>2022</v>
      </c>
      <c r="L3" s="9" t="str">
        <f>Konsolide!$L$3</f>
        <v>21-22</v>
      </c>
      <c r="M3" s="37"/>
      <c r="N3" s="8">
        <v>2022</v>
      </c>
      <c r="O3" s="8">
        <v>2023</v>
      </c>
      <c r="P3" s="9" t="s">
        <v>127</v>
      </c>
    </row>
    <row r="4" spans="2:16" x14ac:dyDescent="0.35">
      <c r="B4" s="10" t="s">
        <v>88</v>
      </c>
      <c r="C4" s="45">
        <v>205.39000000000001</v>
      </c>
      <c r="D4" s="45">
        <v>304.83100000000002</v>
      </c>
      <c r="E4" s="45">
        <v>609.62800000000004</v>
      </c>
      <c r="F4" s="45">
        <v>1014</v>
      </c>
      <c r="G4" s="45">
        <v>1717</v>
      </c>
      <c r="H4" s="45">
        <v>1959</v>
      </c>
      <c r="I4" s="45">
        <v>2070</v>
      </c>
      <c r="J4" s="45">
        <v>2951</v>
      </c>
      <c r="K4" s="45">
        <v>6226</v>
      </c>
      <c r="L4" s="45">
        <f>K4-J4</f>
        <v>3275</v>
      </c>
      <c r="M4" s="59"/>
      <c r="N4" s="45">
        <v>856</v>
      </c>
      <c r="O4" s="45">
        <v>1972</v>
      </c>
      <c r="P4" s="45">
        <f>O4-N4</f>
        <v>1116</v>
      </c>
    </row>
    <row r="5" spans="2:16" x14ac:dyDescent="0.35">
      <c r="B5" s="77" t="s">
        <v>15</v>
      </c>
      <c r="C5" s="45">
        <v>210.18100000000001</v>
      </c>
      <c r="D5" s="45">
        <v>200.333</v>
      </c>
      <c r="E5" s="45">
        <v>443.23500000000001</v>
      </c>
      <c r="F5" s="45">
        <v>592</v>
      </c>
      <c r="G5" s="45">
        <v>798</v>
      </c>
      <c r="H5" s="45">
        <v>1058</v>
      </c>
      <c r="I5" s="45">
        <v>1342</v>
      </c>
      <c r="J5" s="45">
        <v>2101</v>
      </c>
      <c r="K5" s="45">
        <v>4119</v>
      </c>
      <c r="L5" s="45">
        <f t="shared" ref="L5:L24" si="0">K5-J5</f>
        <v>2018</v>
      </c>
      <c r="M5" s="60"/>
      <c r="N5" s="45">
        <v>873</v>
      </c>
      <c r="O5" s="45">
        <v>1695</v>
      </c>
      <c r="P5" s="45">
        <f t="shared" ref="P5:P24" si="1">O5-N5</f>
        <v>822</v>
      </c>
    </row>
    <row r="6" spans="2:16" x14ac:dyDescent="0.35">
      <c r="B6" s="10" t="s">
        <v>89</v>
      </c>
      <c r="C6" s="45">
        <v>66.836883419186591</v>
      </c>
      <c r="D6" s="45">
        <v>136.90278828440944</v>
      </c>
      <c r="E6" s="45">
        <v>448.97269115704557</v>
      </c>
      <c r="F6" s="45">
        <v>605</v>
      </c>
      <c r="G6" s="45">
        <v>816</v>
      </c>
      <c r="H6" s="45">
        <v>902</v>
      </c>
      <c r="I6" s="45">
        <f t="shared" ref="I6:K6" si="2">SUM(I7:I11)</f>
        <v>941</v>
      </c>
      <c r="J6" s="45">
        <f t="shared" si="2"/>
        <v>1045</v>
      </c>
      <c r="K6" s="45">
        <f t="shared" si="2"/>
        <v>1292</v>
      </c>
      <c r="L6" s="45">
        <f t="shared" si="0"/>
        <v>247</v>
      </c>
      <c r="M6" s="60"/>
      <c r="N6" s="45">
        <f t="shared" ref="N6:O6" si="3">SUM(N7:N11)</f>
        <v>204</v>
      </c>
      <c r="O6" s="45">
        <f t="shared" si="3"/>
        <v>-702</v>
      </c>
      <c r="P6" s="45">
        <f t="shared" si="1"/>
        <v>-906</v>
      </c>
    </row>
    <row r="7" spans="2:16" x14ac:dyDescent="0.35">
      <c r="B7" s="19" t="s">
        <v>90</v>
      </c>
      <c r="C7" s="45">
        <v>41.669966764836175</v>
      </c>
      <c r="D7" s="45">
        <v>23.435786273687899</v>
      </c>
      <c r="E7" s="45">
        <v>165</v>
      </c>
      <c r="F7" s="45">
        <v>142</v>
      </c>
      <c r="G7" s="45">
        <v>105</v>
      </c>
      <c r="H7" s="45">
        <v>69</v>
      </c>
      <c r="I7" s="45">
        <v>121</v>
      </c>
      <c r="J7" s="45">
        <v>295</v>
      </c>
      <c r="K7" s="45">
        <v>0</v>
      </c>
      <c r="L7" s="45">
        <f t="shared" si="0"/>
        <v>-295</v>
      </c>
      <c r="M7" s="61"/>
      <c r="N7" s="45">
        <v>0</v>
      </c>
      <c r="O7" s="45">
        <v>10</v>
      </c>
      <c r="P7" s="45">
        <f t="shared" si="1"/>
        <v>10</v>
      </c>
    </row>
    <row r="8" spans="2:16" x14ac:dyDescent="0.35">
      <c r="B8" s="19" t="s">
        <v>91</v>
      </c>
      <c r="C8" s="45">
        <v>78.227916654350452</v>
      </c>
      <c r="D8" s="45">
        <v>70.018002010721489</v>
      </c>
      <c r="E8" s="45">
        <v>146.45319474679684</v>
      </c>
      <c r="F8" s="45">
        <v>51</v>
      </c>
      <c r="G8" s="45">
        <v>85</v>
      </c>
      <c r="H8" s="45">
        <v>92</v>
      </c>
      <c r="I8" s="45">
        <v>82</v>
      </c>
      <c r="J8" s="45">
        <v>102</v>
      </c>
      <c r="K8" s="45">
        <v>-109</v>
      </c>
      <c r="L8" s="45">
        <f t="shared" si="0"/>
        <v>-211</v>
      </c>
      <c r="M8" s="60"/>
      <c r="N8" s="45">
        <v>-36</v>
      </c>
      <c r="O8" s="45">
        <v>-1016</v>
      </c>
      <c r="P8" s="45">
        <f t="shared" si="1"/>
        <v>-980</v>
      </c>
    </row>
    <row r="9" spans="2:16" x14ac:dyDescent="0.35">
      <c r="B9" s="19" t="s">
        <v>92</v>
      </c>
      <c r="C9" s="45">
        <v>-60.061000000000035</v>
      </c>
      <c r="D9" s="45">
        <v>26.449000000000069</v>
      </c>
      <c r="E9" s="45">
        <v>83.756321633929019</v>
      </c>
      <c r="F9" s="45">
        <v>135</v>
      </c>
      <c r="G9" s="45">
        <v>97</v>
      </c>
      <c r="H9" s="45">
        <v>115</v>
      </c>
      <c r="I9" s="45">
        <v>97</v>
      </c>
      <c r="J9" s="45">
        <v>77</v>
      </c>
      <c r="K9" s="45">
        <v>103</v>
      </c>
      <c r="L9" s="45">
        <f t="shared" si="0"/>
        <v>26</v>
      </c>
      <c r="M9" s="60"/>
      <c r="N9" s="45">
        <v>32</v>
      </c>
      <c r="O9" s="45">
        <v>1</v>
      </c>
      <c r="P9" s="45">
        <f t="shared" si="1"/>
        <v>-31</v>
      </c>
    </row>
    <row r="10" spans="2:16" x14ac:dyDescent="0.35">
      <c r="B10" s="19" t="s">
        <v>93</v>
      </c>
      <c r="C10" s="45">
        <v>7</v>
      </c>
      <c r="D10" s="45">
        <v>17</v>
      </c>
      <c r="E10" s="45">
        <v>53.763174776319715</v>
      </c>
      <c r="F10" s="45">
        <v>277</v>
      </c>
      <c r="G10" s="45">
        <v>413</v>
      </c>
      <c r="H10" s="45">
        <v>466</v>
      </c>
      <c r="I10" s="45">
        <v>446</v>
      </c>
      <c r="J10" s="45">
        <v>422</v>
      </c>
      <c r="K10" s="45">
        <v>906</v>
      </c>
      <c r="L10" s="45">
        <f t="shared" si="0"/>
        <v>484</v>
      </c>
      <c r="M10" s="60"/>
      <c r="N10" s="45">
        <v>178</v>
      </c>
      <c r="O10" s="45">
        <v>250</v>
      </c>
      <c r="P10" s="45">
        <f t="shared" si="1"/>
        <v>72</v>
      </c>
    </row>
    <row r="11" spans="2:16" x14ac:dyDescent="0.35">
      <c r="B11" s="19" t="s">
        <v>94</v>
      </c>
      <c r="C11" s="62" t="s">
        <v>1</v>
      </c>
      <c r="D11" s="62" t="s">
        <v>1</v>
      </c>
      <c r="E11" s="62" t="s">
        <v>1</v>
      </c>
      <c r="F11" s="62" t="s">
        <v>1</v>
      </c>
      <c r="G11" s="45">
        <v>116</v>
      </c>
      <c r="H11" s="45">
        <v>160</v>
      </c>
      <c r="I11" s="45">
        <v>195</v>
      </c>
      <c r="J11" s="45">
        <v>149</v>
      </c>
      <c r="K11" s="45">
        <v>392</v>
      </c>
      <c r="L11" s="62">
        <f t="shared" si="0"/>
        <v>243</v>
      </c>
      <c r="M11" s="60"/>
      <c r="N11" s="45">
        <v>30</v>
      </c>
      <c r="O11" s="45">
        <v>53</v>
      </c>
      <c r="P11" s="62">
        <f t="shared" si="1"/>
        <v>23</v>
      </c>
    </row>
    <row r="12" spans="2:16" x14ac:dyDescent="0.35">
      <c r="B12" s="78" t="s">
        <v>95</v>
      </c>
      <c r="C12" s="45">
        <v>32.309772053554298</v>
      </c>
      <c r="D12" s="45">
        <v>38.876549469487827</v>
      </c>
      <c r="E12" s="45">
        <v>44</v>
      </c>
      <c r="F12" s="45">
        <v>86</v>
      </c>
      <c r="G12" s="45">
        <v>133</v>
      </c>
      <c r="H12" s="45">
        <v>174</v>
      </c>
      <c r="I12" s="45">
        <v>217</v>
      </c>
      <c r="J12" s="45">
        <v>283</v>
      </c>
      <c r="K12" s="45">
        <v>482</v>
      </c>
      <c r="L12" s="45">
        <f t="shared" si="0"/>
        <v>199</v>
      </c>
      <c r="M12" s="60"/>
      <c r="N12" s="45">
        <v>105</v>
      </c>
      <c r="O12" s="45">
        <v>58</v>
      </c>
      <c r="P12" s="45">
        <f t="shared" si="1"/>
        <v>-47</v>
      </c>
    </row>
    <row r="13" spans="2:16" x14ac:dyDescent="0.35">
      <c r="B13" s="10" t="s">
        <v>31</v>
      </c>
      <c r="C13" s="45">
        <v>120.604</v>
      </c>
      <c r="D13" s="45">
        <v>126.396</v>
      </c>
      <c r="E13" s="45">
        <v>103.99730884295445</v>
      </c>
      <c r="F13" s="45">
        <v>47</v>
      </c>
      <c r="G13" s="45">
        <v>26</v>
      </c>
      <c r="H13" s="45">
        <v>-20</v>
      </c>
      <c r="I13" s="45">
        <v>193</v>
      </c>
      <c r="J13" s="45">
        <v>171</v>
      </c>
      <c r="K13" s="45">
        <v>410</v>
      </c>
      <c r="L13" s="45">
        <f t="shared" si="0"/>
        <v>239</v>
      </c>
      <c r="M13" s="60"/>
      <c r="N13" s="45">
        <v>111</v>
      </c>
      <c r="O13" s="45">
        <v>-13</v>
      </c>
      <c r="P13" s="45">
        <f t="shared" si="1"/>
        <v>-124</v>
      </c>
    </row>
    <row r="14" spans="2:16" x14ac:dyDescent="0.35">
      <c r="B14" s="12" t="s">
        <v>21</v>
      </c>
      <c r="C14" s="42">
        <v>635.32165547274099</v>
      </c>
      <c r="D14" s="42">
        <v>807.33933775389721</v>
      </c>
      <c r="E14" s="42">
        <v>1649.8330000000001</v>
      </c>
      <c r="F14" s="42">
        <v>2344</v>
      </c>
      <c r="G14" s="42">
        <v>3490</v>
      </c>
      <c r="H14" s="42">
        <v>4073</v>
      </c>
      <c r="I14" s="42">
        <f>SUM(I4:I6,I12:I13)</f>
        <v>4763</v>
      </c>
      <c r="J14" s="42">
        <f>SUM(J4:J6,J12:J13)</f>
        <v>6551</v>
      </c>
      <c r="K14" s="42">
        <f>SUM(K4:K6,K12:K13)</f>
        <v>12529</v>
      </c>
      <c r="L14" s="42">
        <f t="shared" si="0"/>
        <v>5978</v>
      </c>
      <c r="M14" s="63"/>
      <c r="N14" s="42">
        <f>SUM(N4:N6,N12:N13)</f>
        <v>2149</v>
      </c>
      <c r="O14" s="42">
        <f>SUM(O4:O6,O12:O13)</f>
        <v>3010</v>
      </c>
      <c r="P14" s="42">
        <f t="shared" si="1"/>
        <v>861</v>
      </c>
    </row>
    <row r="15" spans="2:16" x14ac:dyDescent="0.35">
      <c r="B15" s="10" t="s">
        <v>96</v>
      </c>
      <c r="C15" s="44">
        <v>-71</v>
      </c>
      <c r="D15" s="44">
        <v>-125</v>
      </c>
      <c r="E15" s="44">
        <v>-265</v>
      </c>
      <c r="F15" s="45">
        <v>-577</v>
      </c>
      <c r="G15" s="45">
        <v>-1082</v>
      </c>
      <c r="H15" s="45">
        <v>-1178</v>
      </c>
      <c r="I15" s="45">
        <v>-1157</v>
      </c>
      <c r="J15" s="45">
        <v>-1050</v>
      </c>
      <c r="K15" s="45">
        <v>-3717</v>
      </c>
      <c r="L15" s="45">
        <f t="shared" si="0"/>
        <v>-2667</v>
      </c>
      <c r="M15" s="60"/>
      <c r="N15" s="45">
        <v>-154</v>
      </c>
      <c r="O15" s="45">
        <v>-957</v>
      </c>
      <c r="P15" s="45">
        <f t="shared" si="1"/>
        <v>-803</v>
      </c>
    </row>
    <row r="16" spans="2:16" x14ac:dyDescent="0.35">
      <c r="B16" s="10" t="s">
        <v>90</v>
      </c>
      <c r="C16" s="44">
        <v>-41.669966764836175</v>
      </c>
      <c r="D16" s="44">
        <v>-23.435786273687899</v>
      </c>
      <c r="E16" s="44">
        <v>-165</v>
      </c>
      <c r="F16" s="44">
        <v>-142</v>
      </c>
      <c r="G16" s="44">
        <v>-105</v>
      </c>
      <c r="H16" s="44">
        <v>-69</v>
      </c>
      <c r="I16" s="45">
        <v>-121</v>
      </c>
      <c r="J16" s="45">
        <v>-295</v>
      </c>
      <c r="K16" s="45">
        <v>811</v>
      </c>
      <c r="L16" s="45">
        <f t="shared" si="0"/>
        <v>1106</v>
      </c>
      <c r="M16" s="60"/>
      <c r="N16" s="45">
        <v>0</v>
      </c>
      <c r="O16" s="45">
        <v>-10</v>
      </c>
      <c r="P16" s="45">
        <f t="shared" si="1"/>
        <v>-10</v>
      </c>
    </row>
    <row r="17" spans="2:16" x14ac:dyDescent="0.35">
      <c r="B17" s="10" t="s">
        <v>97</v>
      </c>
      <c r="C17" s="44">
        <v>-475.6280332351638</v>
      </c>
      <c r="D17" s="44">
        <v>-34.714305234190533</v>
      </c>
      <c r="E17" s="44">
        <v>412.99962729786353</v>
      </c>
      <c r="F17" s="45">
        <v>20.574684588912532</v>
      </c>
      <c r="G17" s="45">
        <v>71</v>
      </c>
      <c r="H17" s="45">
        <v>-449</v>
      </c>
      <c r="I17" s="45">
        <v>78</v>
      </c>
      <c r="J17" s="45">
        <v>1381</v>
      </c>
      <c r="K17" s="45">
        <v>-4005</v>
      </c>
      <c r="L17" s="44">
        <f t="shared" si="0"/>
        <v>-5386</v>
      </c>
      <c r="M17" s="60"/>
      <c r="N17" s="45">
        <v>-422</v>
      </c>
      <c r="O17" s="45">
        <v>2050</v>
      </c>
      <c r="P17" s="44">
        <f t="shared" si="1"/>
        <v>2472</v>
      </c>
    </row>
    <row r="18" spans="2:16" x14ac:dyDescent="0.35">
      <c r="B18" s="12" t="s">
        <v>41</v>
      </c>
      <c r="C18" s="42">
        <v>47.023655472740984</v>
      </c>
      <c r="D18" s="42">
        <v>624.1892462460188</v>
      </c>
      <c r="E18" s="42">
        <v>1632.8326272978638</v>
      </c>
      <c r="F18" s="42">
        <v>1645.5746845889125</v>
      </c>
      <c r="G18" s="42">
        <v>2374</v>
      </c>
      <c r="H18" s="42">
        <v>2377</v>
      </c>
      <c r="I18" s="42">
        <f>SUM(I14:I17)</f>
        <v>3563</v>
      </c>
      <c r="J18" s="42">
        <f>SUM(J14:J17)</f>
        <v>6587</v>
      </c>
      <c r="K18" s="42">
        <f>SUM(K14:K17)</f>
        <v>5618</v>
      </c>
      <c r="L18" s="42">
        <f t="shared" si="0"/>
        <v>-969</v>
      </c>
      <c r="M18" s="64"/>
      <c r="N18" s="42">
        <f>SUM(N14:N17)</f>
        <v>1573</v>
      </c>
      <c r="O18" s="42">
        <f>SUM(O14:O17)</f>
        <v>4093</v>
      </c>
      <c r="P18" s="42">
        <f t="shared" si="1"/>
        <v>2520</v>
      </c>
    </row>
    <row r="19" spans="2:16" x14ac:dyDescent="0.35">
      <c r="B19" s="10" t="s">
        <v>98</v>
      </c>
      <c r="C19" s="44">
        <v>-619</v>
      </c>
      <c r="D19" s="44">
        <v>-1269</v>
      </c>
      <c r="E19" s="44">
        <v>-1599</v>
      </c>
      <c r="F19" s="44">
        <v>-1573</v>
      </c>
      <c r="G19" s="45">
        <v>-1605</v>
      </c>
      <c r="H19" s="45">
        <v>-1418</v>
      </c>
      <c r="I19" s="45">
        <v>-1790</v>
      </c>
      <c r="J19" s="45">
        <v>-2800</v>
      </c>
      <c r="K19" s="45">
        <v>-4452</v>
      </c>
      <c r="L19" s="44">
        <f t="shared" si="0"/>
        <v>-1652</v>
      </c>
      <c r="M19" s="65"/>
      <c r="N19" s="45">
        <v>-380</v>
      </c>
      <c r="O19" s="45">
        <v>-976</v>
      </c>
      <c r="P19" s="44">
        <f t="shared" si="1"/>
        <v>-596</v>
      </c>
    </row>
    <row r="20" spans="2:16" x14ac:dyDescent="0.35">
      <c r="B20" s="10" t="s">
        <v>90</v>
      </c>
      <c r="C20" s="44">
        <v>41.669966764836175</v>
      </c>
      <c r="D20" s="44">
        <v>23.435786273687899</v>
      </c>
      <c r="E20" s="44">
        <v>165</v>
      </c>
      <c r="F20" s="44">
        <v>142</v>
      </c>
      <c r="G20" s="44">
        <v>105</v>
      </c>
      <c r="H20" s="44">
        <v>69</v>
      </c>
      <c r="I20" s="45">
        <v>121</v>
      </c>
      <c r="J20" s="45">
        <v>295</v>
      </c>
      <c r="K20" s="45">
        <v>-811</v>
      </c>
      <c r="L20" s="44">
        <f t="shared" si="0"/>
        <v>-1106</v>
      </c>
      <c r="M20" s="60"/>
      <c r="N20" s="45">
        <v>0</v>
      </c>
      <c r="O20" s="45">
        <v>10</v>
      </c>
      <c r="P20" s="44">
        <f t="shared" si="1"/>
        <v>10</v>
      </c>
    </row>
    <row r="21" spans="2:16" x14ac:dyDescent="0.35">
      <c r="B21" s="10" t="s">
        <v>99</v>
      </c>
      <c r="C21" s="44">
        <v>-103.91940598232948</v>
      </c>
      <c r="D21" s="44">
        <v>-186.83463205894682</v>
      </c>
      <c r="E21" s="44">
        <v>-186.42000000000002</v>
      </c>
      <c r="F21" s="44">
        <v>-307.66720910269106</v>
      </c>
      <c r="G21" s="45">
        <v>-308</v>
      </c>
      <c r="H21" s="45">
        <v>-255</v>
      </c>
      <c r="I21" s="45">
        <v>-346</v>
      </c>
      <c r="J21" s="45">
        <v>-451</v>
      </c>
      <c r="K21" s="45">
        <v>-947</v>
      </c>
      <c r="L21" s="44">
        <f t="shared" si="0"/>
        <v>-496</v>
      </c>
      <c r="M21" s="60"/>
      <c r="N21" s="45">
        <v>-68</v>
      </c>
      <c r="O21" s="45">
        <v>-174</v>
      </c>
      <c r="P21" s="44">
        <f t="shared" si="1"/>
        <v>-106</v>
      </c>
    </row>
    <row r="22" spans="2:16" x14ac:dyDescent="0.35">
      <c r="B22" s="10" t="s">
        <v>100</v>
      </c>
      <c r="C22" s="44">
        <v>202.24943921749332</v>
      </c>
      <c r="D22" s="44">
        <v>384.39884578525891</v>
      </c>
      <c r="E22" s="44">
        <v>108.42000000000002</v>
      </c>
      <c r="F22" s="44">
        <v>34.151704117641486</v>
      </c>
      <c r="G22" s="45">
        <v>259</v>
      </c>
      <c r="H22" s="45">
        <v>49</v>
      </c>
      <c r="I22" s="45">
        <v>-96</v>
      </c>
      <c r="J22" s="45">
        <v>-452</v>
      </c>
      <c r="K22" s="45">
        <v>610</v>
      </c>
      <c r="L22" s="44">
        <f t="shared" si="0"/>
        <v>1062</v>
      </c>
      <c r="M22" s="60"/>
      <c r="N22" s="45">
        <v>-685</v>
      </c>
      <c r="O22" s="45">
        <v>-1911</v>
      </c>
      <c r="P22" s="44">
        <f t="shared" si="1"/>
        <v>-1226</v>
      </c>
    </row>
    <row r="23" spans="2:16" x14ac:dyDescent="0.35">
      <c r="B23" s="12" t="s">
        <v>101</v>
      </c>
      <c r="C23" s="42">
        <v>-479</v>
      </c>
      <c r="D23" s="42">
        <v>-1048</v>
      </c>
      <c r="E23" s="42">
        <v>-1512</v>
      </c>
      <c r="F23" s="42">
        <v>-1704.5155049850496</v>
      </c>
      <c r="G23" s="42">
        <v>-1549</v>
      </c>
      <c r="H23" s="42">
        <v>-1555</v>
      </c>
      <c r="I23" s="42">
        <f t="shared" ref="I23:K23" si="4">SUM(I19:I22)</f>
        <v>-2111</v>
      </c>
      <c r="J23" s="42">
        <f t="shared" si="4"/>
        <v>-3408</v>
      </c>
      <c r="K23" s="42">
        <f t="shared" si="4"/>
        <v>-5600</v>
      </c>
      <c r="L23" s="42">
        <f t="shared" si="0"/>
        <v>-2192</v>
      </c>
      <c r="M23" s="64"/>
      <c r="N23" s="42">
        <f t="shared" ref="N23:O23" si="5">SUM(N19:N22)</f>
        <v>-1133</v>
      </c>
      <c r="O23" s="42">
        <f t="shared" si="5"/>
        <v>-3051</v>
      </c>
      <c r="P23" s="42">
        <f t="shared" si="1"/>
        <v>-1918</v>
      </c>
    </row>
    <row r="24" spans="2:16" x14ac:dyDescent="0.35">
      <c r="B24" s="12" t="s">
        <v>43</v>
      </c>
      <c r="C24" s="42">
        <v>-431.97634452725902</v>
      </c>
      <c r="D24" s="42">
        <v>-423.3107537539812</v>
      </c>
      <c r="E24" s="42">
        <v>120.83262729786384</v>
      </c>
      <c r="F24" s="42">
        <v>-58.940820396137042</v>
      </c>
      <c r="G24" s="42">
        <v>825</v>
      </c>
      <c r="H24" s="42">
        <v>822</v>
      </c>
      <c r="I24" s="42">
        <f>I23+I18</f>
        <v>1452</v>
      </c>
      <c r="J24" s="42">
        <f>J23+J18</f>
        <v>3179</v>
      </c>
      <c r="K24" s="42">
        <f>K23+K18</f>
        <v>18</v>
      </c>
      <c r="L24" s="42">
        <f t="shared" si="0"/>
        <v>-3161</v>
      </c>
      <c r="M24" s="64"/>
      <c r="N24" s="42">
        <f>N23+N18</f>
        <v>440</v>
      </c>
      <c r="O24" s="42">
        <f>O23+O18</f>
        <v>1042</v>
      </c>
      <c r="P24" s="42">
        <f t="shared" si="1"/>
        <v>602</v>
      </c>
    </row>
    <row r="25" spans="2:16" x14ac:dyDescent="0.35">
      <c r="B25" s="4"/>
      <c r="C25" s="66"/>
      <c r="D25" s="66"/>
      <c r="E25" s="66"/>
      <c r="F25" s="66"/>
      <c r="G25" s="66"/>
      <c r="H25" s="66"/>
      <c r="I25" s="66"/>
      <c r="J25" s="66"/>
      <c r="K25" s="66"/>
      <c r="L25" s="66"/>
      <c r="N25" s="66"/>
      <c r="O25" s="66"/>
      <c r="P25" s="66"/>
    </row>
    <row r="26" spans="2:16" x14ac:dyDescent="0.35">
      <c r="B26" s="35" t="s">
        <v>102</v>
      </c>
      <c r="C26" s="36"/>
      <c r="D26" s="36"/>
      <c r="E26" s="36"/>
      <c r="F26" s="36"/>
      <c r="G26" s="36"/>
      <c r="H26" s="36"/>
      <c r="I26" s="5"/>
      <c r="J26" s="5"/>
      <c r="K26" s="5"/>
      <c r="L26" s="5" t="s">
        <v>55</v>
      </c>
      <c r="M26" s="37"/>
      <c r="N26" s="5" t="s">
        <v>128</v>
      </c>
      <c r="O26" s="5" t="s">
        <v>128</v>
      </c>
      <c r="P26" s="5" t="s">
        <v>55</v>
      </c>
    </row>
    <row r="27" spans="2:16" ht="15" thickBot="1" x14ac:dyDescent="0.4">
      <c r="B27" s="38" t="s">
        <v>70</v>
      </c>
      <c r="C27" s="39">
        <v>2014</v>
      </c>
      <c r="D27" s="39">
        <v>2015</v>
      </c>
      <c r="E27" s="39">
        <v>2016</v>
      </c>
      <c r="F27" s="39">
        <v>2017</v>
      </c>
      <c r="G27" s="39">
        <v>2018</v>
      </c>
      <c r="H27" s="39">
        <v>2019</v>
      </c>
      <c r="I27" s="8">
        <v>2020</v>
      </c>
      <c r="J27" s="8">
        <v>2021</v>
      </c>
      <c r="K27" s="8">
        <v>2022</v>
      </c>
      <c r="L27" s="9" t="str">
        <f>Konsolide!$L$3</f>
        <v>21-22</v>
      </c>
      <c r="M27" s="37"/>
      <c r="N27" s="8">
        <v>2022</v>
      </c>
      <c r="O27" s="8">
        <v>2023</v>
      </c>
      <c r="P27" s="9" t="s">
        <v>127</v>
      </c>
    </row>
    <row r="28" spans="2:16" x14ac:dyDescent="0.35">
      <c r="B28" s="10" t="s">
        <v>103</v>
      </c>
      <c r="C28" s="45">
        <v>966.44059948407414</v>
      </c>
      <c r="D28" s="45">
        <f t="shared" ref="D28:J28" si="6">C33</f>
        <v>1435.1508636508995</v>
      </c>
      <c r="E28" s="45">
        <f t="shared" si="6"/>
        <v>2661.559619819981</v>
      </c>
      <c r="F28" s="45">
        <f t="shared" si="6"/>
        <v>3914.3147345384236</v>
      </c>
      <c r="G28" s="45">
        <f t="shared" si="6"/>
        <v>5322.0147345384239</v>
      </c>
      <c r="H28" s="45">
        <f t="shared" si="6"/>
        <v>6948.0147345384239</v>
      </c>
      <c r="I28" s="45">
        <f t="shared" si="6"/>
        <v>8400.2602391005548</v>
      </c>
      <c r="J28" s="45">
        <f t="shared" si="6"/>
        <v>9354.2602391005548</v>
      </c>
      <c r="K28" s="45">
        <f>J33</f>
        <v>11238.260239100555</v>
      </c>
      <c r="L28" s="45">
        <f>K28-J28</f>
        <v>1884</v>
      </c>
      <c r="M28" s="60"/>
      <c r="N28" s="45">
        <f>J33</f>
        <v>11238.260239100555</v>
      </c>
      <c r="O28" s="45">
        <f>K33</f>
        <v>19863.260239100557</v>
      </c>
      <c r="P28" s="45">
        <f>O28-N28</f>
        <v>8625.0000000000018</v>
      </c>
    </row>
    <row r="29" spans="2:16" x14ac:dyDescent="0.35">
      <c r="B29" s="19" t="s">
        <v>104</v>
      </c>
      <c r="C29" s="45">
        <v>619</v>
      </c>
      <c r="D29" s="45">
        <v>1269</v>
      </c>
      <c r="E29" s="45">
        <v>1599</v>
      </c>
      <c r="F29" s="45">
        <v>1573</v>
      </c>
      <c r="G29" s="45">
        <v>1605</v>
      </c>
      <c r="H29" s="45">
        <v>1418</v>
      </c>
      <c r="I29" s="45">
        <f>-I19</f>
        <v>1790</v>
      </c>
      <c r="J29" s="45">
        <v>2800</v>
      </c>
      <c r="K29" s="45">
        <v>4452</v>
      </c>
      <c r="L29" s="45">
        <f t="shared" ref="L29:L60" si="7">K29-J29</f>
        <v>1652</v>
      </c>
      <c r="M29" s="60"/>
      <c r="N29" s="45">
        <v>380</v>
      </c>
      <c r="O29" s="45">
        <v>975.82343380060524</v>
      </c>
      <c r="P29" s="45">
        <f t="shared" ref="P29:P30" si="8">O29-N29</f>
        <v>595.82343380060524</v>
      </c>
    </row>
    <row r="30" spans="2:16" x14ac:dyDescent="0.35">
      <c r="B30" s="19" t="s">
        <v>15</v>
      </c>
      <c r="C30" s="45">
        <v>-210.18100000000001</v>
      </c>
      <c r="D30" s="45">
        <v>-200.333</v>
      </c>
      <c r="E30" s="45">
        <v>-443.23500000000001</v>
      </c>
      <c r="F30" s="45">
        <v>-592</v>
      </c>
      <c r="G30" s="45">
        <v>-798</v>
      </c>
      <c r="H30" s="45">
        <v>-1058</v>
      </c>
      <c r="I30" s="45">
        <f>-I5</f>
        <v>-1342</v>
      </c>
      <c r="J30" s="45">
        <v>-2556</v>
      </c>
      <c r="K30" s="45">
        <v>-4663</v>
      </c>
      <c r="L30" s="45">
        <f t="shared" si="7"/>
        <v>-2107</v>
      </c>
      <c r="M30" s="60"/>
      <c r="N30" s="45">
        <v>-1009</v>
      </c>
      <c r="O30" s="45">
        <v>-1695.0143738621423</v>
      </c>
      <c r="P30" s="45">
        <f t="shared" si="8"/>
        <v>-686.01437386214229</v>
      </c>
    </row>
    <row r="31" spans="2:16" x14ac:dyDescent="0.35">
      <c r="B31" s="19" t="s">
        <v>105</v>
      </c>
      <c r="C31" s="41" t="s">
        <v>1</v>
      </c>
      <c r="D31" s="41" t="s">
        <v>1</v>
      </c>
      <c r="E31" s="41" t="s">
        <v>1</v>
      </c>
      <c r="F31" s="41" t="s">
        <v>1</v>
      </c>
      <c r="G31" s="41" t="s">
        <v>1</v>
      </c>
      <c r="H31" s="41" t="s">
        <v>1</v>
      </c>
      <c r="I31" s="40">
        <v>-492</v>
      </c>
      <c r="J31" s="41" t="s">
        <v>1</v>
      </c>
      <c r="K31" s="45">
        <v>0</v>
      </c>
      <c r="L31" s="41" t="s">
        <v>1</v>
      </c>
      <c r="M31" s="60"/>
      <c r="N31" s="45" t="s">
        <v>1</v>
      </c>
      <c r="O31" s="45" t="s">
        <v>1</v>
      </c>
      <c r="P31" s="41" t="s">
        <v>1</v>
      </c>
    </row>
    <row r="32" spans="2:16" x14ac:dyDescent="0.35">
      <c r="B32" s="19" t="s">
        <v>106</v>
      </c>
      <c r="C32" s="45">
        <v>59.891264166825501</v>
      </c>
      <c r="D32" s="45">
        <v>157.74175616908124</v>
      </c>
      <c r="E32" s="45">
        <v>96.990114718442669</v>
      </c>
      <c r="F32" s="45">
        <v>426.7</v>
      </c>
      <c r="G32" s="45">
        <v>819</v>
      </c>
      <c r="H32" s="45">
        <v>1092.24550456213</v>
      </c>
      <c r="I32" s="45">
        <v>998</v>
      </c>
      <c r="J32" s="45">
        <v>1640</v>
      </c>
      <c r="K32" s="45">
        <v>8836</v>
      </c>
      <c r="L32" s="45">
        <f t="shared" si="7"/>
        <v>7196</v>
      </c>
      <c r="M32" s="60"/>
      <c r="N32" s="45">
        <v>5777</v>
      </c>
      <c r="O32" s="45">
        <v>10277.524986827815</v>
      </c>
      <c r="P32" s="45">
        <f t="shared" ref="P32:P34" si="9">O32-N32</f>
        <v>4500.5249868278152</v>
      </c>
    </row>
    <row r="33" spans="2:16" x14ac:dyDescent="0.35">
      <c r="B33" s="12" t="s">
        <v>107</v>
      </c>
      <c r="C33" s="42">
        <v>1435.1508636508995</v>
      </c>
      <c r="D33" s="42">
        <v>2661.559619819981</v>
      </c>
      <c r="E33" s="42">
        <v>3914.3147345384236</v>
      </c>
      <c r="F33" s="42">
        <v>5322.0147345384239</v>
      </c>
      <c r="G33" s="42">
        <v>6948.0147345384239</v>
      </c>
      <c r="H33" s="42">
        <v>8400.2602391005548</v>
      </c>
      <c r="I33" s="42">
        <f>SUM(I28:I32)</f>
        <v>9354.2602391005548</v>
      </c>
      <c r="J33" s="42">
        <f>SUM(J28:J32)</f>
        <v>11238.260239100555</v>
      </c>
      <c r="K33" s="42">
        <f>SUM(K28:K32)</f>
        <v>19863.260239100557</v>
      </c>
      <c r="L33" s="42">
        <f t="shared" si="7"/>
        <v>8625.0000000000018</v>
      </c>
      <c r="M33" s="64"/>
      <c r="N33" s="42">
        <f>SUM(N28:N32)</f>
        <v>16386.260239100557</v>
      </c>
      <c r="O33" s="42">
        <f>SUM(O28:O32)</f>
        <v>29421.594285866835</v>
      </c>
      <c r="P33" s="42">
        <f t="shared" si="9"/>
        <v>13035.334046766278</v>
      </c>
    </row>
    <row r="34" spans="2:16" x14ac:dyDescent="0.35">
      <c r="B34" s="10" t="s">
        <v>108</v>
      </c>
      <c r="C34" s="67">
        <v>9.9699999999999997E-2</v>
      </c>
      <c r="D34" s="67">
        <v>9.9699999999999997E-2</v>
      </c>
      <c r="E34" s="67">
        <v>0.1191</v>
      </c>
      <c r="F34" s="87">
        <v>0.1191</v>
      </c>
      <c r="G34" s="87">
        <v>0.1361</v>
      </c>
      <c r="H34" s="87">
        <v>0.1361</v>
      </c>
      <c r="I34" s="87">
        <v>0.13609999999999997</v>
      </c>
      <c r="J34" s="87">
        <v>0.123</v>
      </c>
      <c r="K34" s="87">
        <f>J34</f>
        <v>0.123</v>
      </c>
      <c r="L34" s="87">
        <f t="shared" si="7"/>
        <v>0</v>
      </c>
      <c r="M34" s="60"/>
      <c r="N34" s="87">
        <v>0.123</v>
      </c>
      <c r="O34" s="87">
        <f>K34</f>
        <v>0.123</v>
      </c>
      <c r="P34" s="87">
        <f t="shared" si="9"/>
        <v>0</v>
      </c>
    </row>
    <row r="35" spans="2:16" x14ac:dyDescent="0.35">
      <c r="B35" s="12" t="s">
        <v>42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4"/>
      <c r="N35" s="68"/>
      <c r="O35" s="68"/>
      <c r="P35" s="68"/>
    </row>
    <row r="36" spans="2:16" x14ac:dyDescent="0.35">
      <c r="B36" s="10" t="s">
        <v>109</v>
      </c>
      <c r="C36" s="45">
        <v>567.00000000000011</v>
      </c>
      <c r="D36" s="45">
        <v>567</v>
      </c>
      <c r="E36" s="45">
        <v>863.87649800000008</v>
      </c>
      <c r="F36" s="45">
        <v>863.87649800000008</v>
      </c>
      <c r="G36" s="45">
        <v>863.87649800000008</v>
      </c>
      <c r="H36" s="45">
        <v>863.87649799999997</v>
      </c>
      <c r="I36" s="45">
        <v>864</v>
      </c>
      <c r="J36" s="45">
        <v>1486</v>
      </c>
      <c r="K36" s="45">
        <v>1486</v>
      </c>
      <c r="L36" s="45">
        <f t="shared" si="7"/>
        <v>0</v>
      </c>
      <c r="M36" s="60"/>
      <c r="N36" s="45">
        <v>371.4042092117034</v>
      </c>
      <c r="O36" s="45">
        <v>371.40420921170352</v>
      </c>
      <c r="P36" s="45">
        <f t="shared" ref="P36:P39" si="10">O36-N36</f>
        <v>0</v>
      </c>
    </row>
    <row r="37" spans="2:16" x14ac:dyDescent="0.35">
      <c r="B37" s="10" t="s">
        <v>110</v>
      </c>
      <c r="C37" s="45">
        <v>525.66332335329355</v>
      </c>
      <c r="D37" s="45">
        <v>571.97426214071868</v>
      </c>
      <c r="E37" s="45">
        <v>903.09364590696111</v>
      </c>
      <c r="F37" s="45">
        <v>1001.5406495151198</v>
      </c>
      <c r="G37" s="45">
        <v>1156</v>
      </c>
      <c r="H37" s="45">
        <v>1337.2950444151948</v>
      </c>
      <c r="I37" s="45">
        <v>1506</v>
      </c>
      <c r="J37" s="45">
        <v>3044</v>
      </c>
      <c r="K37" s="45">
        <v>5437</v>
      </c>
      <c r="L37" s="45">
        <f t="shared" si="7"/>
        <v>2393</v>
      </c>
      <c r="M37" s="60"/>
      <c r="N37" s="45">
        <v>1152.1640293665509</v>
      </c>
      <c r="O37" s="45">
        <v>2062.5886930245902</v>
      </c>
      <c r="P37" s="45">
        <f t="shared" si="10"/>
        <v>910.42466365803921</v>
      </c>
    </row>
    <row r="38" spans="2:16" x14ac:dyDescent="0.35">
      <c r="B38" s="10" t="s">
        <v>98</v>
      </c>
      <c r="C38" s="45">
        <v>619</v>
      </c>
      <c r="D38" s="45">
        <v>1269</v>
      </c>
      <c r="E38" s="45">
        <v>1599</v>
      </c>
      <c r="F38" s="45">
        <v>1573</v>
      </c>
      <c r="G38" s="45">
        <v>1605</v>
      </c>
      <c r="H38" s="45">
        <v>1418</v>
      </c>
      <c r="I38" s="45">
        <f>I29</f>
        <v>1790</v>
      </c>
      <c r="J38" s="45">
        <v>2800</v>
      </c>
      <c r="K38" s="45">
        <v>4452</v>
      </c>
      <c r="L38" s="45">
        <f t="shared" si="7"/>
        <v>1652</v>
      </c>
      <c r="M38" s="60"/>
      <c r="N38" s="45">
        <v>379.89800000000002</v>
      </c>
      <c r="O38" s="45">
        <v>975.82343380060524</v>
      </c>
      <c r="P38" s="45">
        <f t="shared" si="10"/>
        <v>595.92543380060522</v>
      </c>
    </row>
    <row r="39" spans="2:16" x14ac:dyDescent="0.35">
      <c r="B39" s="10" t="s">
        <v>111</v>
      </c>
      <c r="C39" s="69">
        <f>C38/C37-1</f>
        <v>0.17755980396596116</v>
      </c>
      <c r="D39" s="69">
        <f t="shared" ref="D39:K39" si="11">D38/D37-1</f>
        <v>1.2186312986366459</v>
      </c>
      <c r="E39" s="69">
        <f t="shared" si="11"/>
        <v>0.77058050097800468</v>
      </c>
      <c r="F39" s="86">
        <f t="shared" si="11"/>
        <v>0.57058028624354229</v>
      </c>
      <c r="G39" s="86">
        <f t="shared" si="11"/>
        <v>0.3884083044982698</v>
      </c>
      <c r="H39" s="86">
        <f t="shared" si="11"/>
        <v>6.0349401519017798E-2</v>
      </c>
      <c r="I39" s="86">
        <f t="shared" si="11"/>
        <v>0.18857901726427628</v>
      </c>
      <c r="J39" s="86">
        <f t="shared" si="11"/>
        <v>-8.0157687253613719E-2</v>
      </c>
      <c r="K39" s="86">
        <f t="shared" si="11"/>
        <v>-0.18116608423763103</v>
      </c>
      <c r="L39" s="86">
        <f t="shared" si="7"/>
        <v>-0.10100839698401731</v>
      </c>
      <c r="M39" s="60"/>
      <c r="N39" s="86">
        <v>-0.67027437906661225</v>
      </c>
      <c r="O39" s="86">
        <v>-0.52689383147463442</v>
      </c>
      <c r="P39" s="86">
        <f t="shared" si="10"/>
        <v>0.14338054759197782</v>
      </c>
    </row>
    <row r="40" spans="2:16" x14ac:dyDescent="0.35">
      <c r="B40" s="12" t="s">
        <v>112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64"/>
      <c r="N40" s="70"/>
      <c r="O40" s="70"/>
      <c r="P40" s="70"/>
    </row>
    <row r="41" spans="2:16" x14ac:dyDescent="0.35">
      <c r="B41" s="10" t="s">
        <v>113</v>
      </c>
      <c r="C41" s="71">
        <v>7.8799999999999995E-2</v>
      </c>
      <c r="D41" s="71">
        <v>7.8799999999999995E-2</v>
      </c>
      <c r="E41" s="71">
        <v>0.08</v>
      </c>
      <c r="F41" s="85">
        <v>7.7499999999999999E-2</v>
      </c>
      <c r="G41" s="85">
        <v>7.6352424951418529E-2</v>
      </c>
      <c r="H41" s="85">
        <v>7.3323606072953129E-2</v>
      </c>
      <c r="I41" s="85">
        <v>7.1800000000000003E-2</v>
      </c>
      <c r="J41" s="85">
        <v>6.7599999999999993E-2</v>
      </c>
      <c r="K41" s="85">
        <v>6.7799999999999999E-2</v>
      </c>
      <c r="L41" s="85">
        <f t="shared" si="7"/>
        <v>2.0000000000000573E-4</v>
      </c>
      <c r="M41" s="60"/>
      <c r="N41" s="85">
        <v>6.7799999999999999E-2</v>
      </c>
      <c r="O41" s="85">
        <v>6.8798655175846324E-2</v>
      </c>
      <c r="P41" s="85">
        <f t="shared" ref="P41:P44" si="12">O41-N41</f>
        <v>9.9865517584632468E-4</v>
      </c>
    </row>
    <row r="42" spans="2:16" x14ac:dyDescent="0.35">
      <c r="B42" s="10" t="s">
        <v>114</v>
      </c>
      <c r="C42" s="71">
        <v>7.6799999999999993E-2</v>
      </c>
      <c r="D42" s="71">
        <v>7.0000000000000007E-2</v>
      </c>
      <c r="E42" s="71">
        <v>6.9800000000000001E-2</v>
      </c>
      <c r="F42" s="85">
        <v>6.0496507664818691E-2</v>
      </c>
      <c r="G42" s="85">
        <v>6.107955885564343E-2</v>
      </c>
      <c r="H42" s="85">
        <v>5.7048399613746324E-2</v>
      </c>
      <c r="I42" s="85">
        <v>6.0291549277044644E-2</v>
      </c>
      <c r="J42" s="85">
        <v>6.020449416271377E-2</v>
      </c>
      <c r="K42" s="85">
        <v>5.9077766434169711E-2</v>
      </c>
      <c r="L42" s="85">
        <f t="shared" si="7"/>
        <v>-1.1267277285440594E-3</v>
      </c>
      <c r="M42" s="60"/>
      <c r="N42" s="85">
        <v>5.3900000000000003E-2</v>
      </c>
      <c r="O42" s="85">
        <v>7.590482311881476E-2</v>
      </c>
      <c r="P42" s="85">
        <f t="shared" si="12"/>
        <v>2.2004823118814756E-2</v>
      </c>
    </row>
    <row r="43" spans="2:16" x14ac:dyDescent="0.35">
      <c r="B43" s="10" t="s">
        <v>115</v>
      </c>
      <c r="C43" s="71">
        <f>C41-C42</f>
        <v>2.0000000000000018E-3</v>
      </c>
      <c r="D43" s="71">
        <f>D41-D42</f>
        <v>8.7999999999999884E-3</v>
      </c>
      <c r="E43" s="71">
        <f>E41-E42</f>
        <v>1.0200000000000001E-2</v>
      </c>
      <c r="F43" s="85">
        <v>1.7003492335181308E-2</v>
      </c>
      <c r="G43" s="85">
        <f t="shared" ref="G43:K43" si="13">G41-G42</f>
        <v>1.5272866095775099E-2</v>
      </c>
      <c r="H43" s="85">
        <f t="shared" si="13"/>
        <v>1.6275206459206805E-2</v>
      </c>
      <c r="I43" s="85">
        <f t="shared" si="13"/>
        <v>1.1508450722955359E-2</v>
      </c>
      <c r="J43" s="85">
        <f t="shared" si="13"/>
        <v>7.3955058372862231E-3</v>
      </c>
      <c r="K43" s="85">
        <f t="shared" si="13"/>
        <v>8.7222335658302882E-3</v>
      </c>
      <c r="L43" s="85">
        <f t="shared" si="7"/>
        <v>1.3267277285440651E-3</v>
      </c>
      <c r="M43" s="60"/>
      <c r="N43" s="85">
        <v>1.3899999999999996E-2</v>
      </c>
      <c r="O43" s="85">
        <f t="shared" ref="O43" si="14">O41-O42</f>
        <v>-7.106167942968436E-3</v>
      </c>
      <c r="P43" s="85">
        <f t="shared" si="12"/>
        <v>-2.1006167942968432E-2</v>
      </c>
    </row>
    <row r="44" spans="2:16" x14ac:dyDescent="0.35">
      <c r="B44" s="10" t="s">
        <v>116</v>
      </c>
      <c r="C44" s="72">
        <v>14.3</v>
      </c>
      <c r="D44" s="72">
        <v>15</v>
      </c>
      <c r="E44" s="72">
        <v>15.3</v>
      </c>
      <c r="F44" s="72">
        <v>16</v>
      </c>
      <c r="G44" s="72">
        <v>16.2</v>
      </c>
      <c r="H44" s="72">
        <v>15.9</v>
      </c>
      <c r="I44" s="72">
        <v>15.7568085397094</v>
      </c>
      <c r="J44" s="72">
        <v>16.516521385410659</v>
      </c>
      <c r="K44" s="72">
        <v>16.652742768860961</v>
      </c>
      <c r="L44" s="72">
        <f t="shared" si="7"/>
        <v>0.13622138345030166</v>
      </c>
      <c r="M44" s="60"/>
      <c r="N44" s="72">
        <v>4.4741999999999997</v>
      </c>
      <c r="O44" s="72">
        <v>4.4106682504198744</v>
      </c>
      <c r="P44" s="72">
        <f t="shared" si="12"/>
        <v>-6.3531749580125307E-2</v>
      </c>
    </row>
    <row r="45" spans="2:16" x14ac:dyDescent="0.35">
      <c r="B45" s="12" t="s">
        <v>117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64"/>
      <c r="N45" s="70"/>
      <c r="O45" s="70"/>
      <c r="P45" s="70"/>
    </row>
    <row r="46" spans="2:16" x14ac:dyDescent="0.35">
      <c r="B46" s="10" t="s">
        <v>113</v>
      </c>
      <c r="C46" s="71">
        <v>6.6100000000000006E-2</v>
      </c>
      <c r="D46" s="71">
        <v>6.6100000000000006E-2</v>
      </c>
      <c r="E46" s="71">
        <v>7.6100000000000001E-2</v>
      </c>
      <c r="F46" s="85">
        <v>7.6316666666666672E-2</v>
      </c>
      <c r="G46" s="85">
        <v>7.4955134146130781E-2</v>
      </c>
      <c r="H46" s="85">
        <v>7.3127731018089281E-2</v>
      </c>
      <c r="I46" s="85">
        <v>7.1499999999999994E-2</v>
      </c>
      <c r="J46" s="85">
        <v>6.6199999999999995E-2</v>
      </c>
      <c r="K46" s="85">
        <v>6.5000000000000002E-2</v>
      </c>
      <c r="L46" s="85">
        <f t="shared" si="7"/>
        <v>-1.1999999999999927E-3</v>
      </c>
      <c r="M46" s="60"/>
      <c r="N46" s="85">
        <v>6.5000000000000002E-2</v>
      </c>
      <c r="O46" s="85">
        <v>6.5301127711818979E-2</v>
      </c>
      <c r="P46" s="85">
        <f t="shared" ref="P46:P49" si="15">O46-N46</f>
        <v>3.0112771181897702E-4</v>
      </c>
    </row>
    <row r="47" spans="2:16" x14ac:dyDescent="0.35">
      <c r="B47" s="10" t="s">
        <v>114</v>
      </c>
      <c r="C47" s="71">
        <v>7.2000000000000008E-2</v>
      </c>
      <c r="D47" s="71">
        <v>7.0200000000000012E-2</v>
      </c>
      <c r="E47" s="71">
        <v>6.7799999999999999E-2</v>
      </c>
      <c r="F47" s="85">
        <v>6.1040921531194961E-2</v>
      </c>
      <c r="G47" s="85">
        <v>6.0422329224719774E-2</v>
      </c>
      <c r="H47" s="85">
        <v>5.4954367895907096E-2</v>
      </c>
      <c r="I47" s="85">
        <v>5.756612038884245E-2</v>
      </c>
      <c r="J47" s="85">
        <v>5.3489093013954069E-2</v>
      </c>
      <c r="K47" s="85">
        <v>5.6793686900364973E-2</v>
      </c>
      <c r="L47" s="85">
        <f t="shared" si="7"/>
        <v>3.3045938864109045E-3</v>
      </c>
      <c r="M47" s="60"/>
      <c r="N47" s="85">
        <v>5.4899999999999997E-2</v>
      </c>
      <c r="O47" s="85">
        <v>6.3336322399994191E-2</v>
      </c>
      <c r="P47" s="85">
        <f t="shared" si="15"/>
        <v>8.4363223999941936E-3</v>
      </c>
    </row>
    <row r="48" spans="2:16" x14ac:dyDescent="0.35">
      <c r="B48" s="10" t="s">
        <v>115</v>
      </c>
      <c r="C48" s="71">
        <f>C46-C47</f>
        <v>-5.9000000000000025E-3</v>
      </c>
      <c r="D48" s="71">
        <f>D46-D47</f>
        <v>-4.1000000000000064E-3</v>
      </c>
      <c r="E48" s="71">
        <f>E46-E47</f>
        <v>8.3000000000000018E-3</v>
      </c>
      <c r="F48" s="85">
        <v>1.5275745135471711E-2</v>
      </c>
      <c r="G48" s="85">
        <f t="shared" ref="G48:K48" si="16">G46-G47</f>
        <v>1.4532804921411006E-2</v>
      </c>
      <c r="H48" s="85">
        <f t="shared" si="16"/>
        <v>1.8173363122182186E-2</v>
      </c>
      <c r="I48" s="85">
        <f t="shared" si="16"/>
        <v>1.3933879611157544E-2</v>
      </c>
      <c r="J48" s="85">
        <f t="shared" si="16"/>
        <v>1.2710906986045926E-2</v>
      </c>
      <c r="K48" s="85">
        <f t="shared" si="16"/>
        <v>8.2063130996350292E-3</v>
      </c>
      <c r="L48" s="85">
        <f t="shared" si="7"/>
        <v>-4.5045938864108973E-3</v>
      </c>
      <c r="M48" s="60"/>
      <c r="N48" s="85">
        <v>1.0100000000000005E-2</v>
      </c>
      <c r="O48" s="85">
        <f t="shared" ref="O48" si="17">O46-O47</f>
        <v>1.9648053118247882E-3</v>
      </c>
      <c r="P48" s="85">
        <f t="shared" si="15"/>
        <v>-8.1351946881752166E-3</v>
      </c>
    </row>
    <row r="49" spans="2:16" x14ac:dyDescent="0.35">
      <c r="B49" s="10" t="s">
        <v>116</v>
      </c>
      <c r="C49" s="72">
        <v>11.1</v>
      </c>
      <c r="D49" s="72">
        <v>11.6</v>
      </c>
      <c r="E49" s="72">
        <v>11.9</v>
      </c>
      <c r="F49" s="72">
        <v>12.3</v>
      </c>
      <c r="G49" s="72">
        <v>12.6</v>
      </c>
      <c r="H49" s="72">
        <v>12.4</v>
      </c>
      <c r="I49" s="72">
        <v>12.098271876945752</v>
      </c>
      <c r="J49" s="72">
        <v>12.639582102216716</v>
      </c>
      <c r="K49" s="72">
        <v>13.023353550573368</v>
      </c>
      <c r="L49" s="72">
        <f t="shared" si="7"/>
        <v>0.38377144835665256</v>
      </c>
      <c r="M49" s="60"/>
      <c r="N49" s="72">
        <v>3.5280100000000001</v>
      </c>
      <c r="O49" s="72">
        <v>3.430053013797953</v>
      </c>
      <c r="P49" s="72">
        <f t="shared" si="15"/>
        <v>-9.7956986202047069E-2</v>
      </c>
    </row>
    <row r="50" spans="2:16" x14ac:dyDescent="0.35">
      <c r="B50" s="12" t="s">
        <v>118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64"/>
      <c r="N50" s="70"/>
      <c r="O50" s="70"/>
      <c r="P50" s="70"/>
    </row>
    <row r="51" spans="2:16" x14ac:dyDescent="0.35">
      <c r="B51" s="10" t="s">
        <v>113</v>
      </c>
      <c r="C51" s="71">
        <v>0.1124</v>
      </c>
      <c r="D51" s="71">
        <v>0.1171</v>
      </c>
      <c r="E51" s="71">
        <v>0.13589999999999999</v>
      </c>
      <c r="F51" s="85">
        <v>0.13320000000000001</v>
      </c>
      <c r="G51" s="85">
        <v>0.1234</v>
      </c>
      <c r="H51" s="85">
        <v>0.11736455562286591</v>
      </c>
      <c r="I51" s="85">
        <v>0.1154</v>
      </c>
      <c r="J51" s="85">
        <v>0.1143</v>
      </c>
      <c r="K51" s="85">
        <v>0.11539999999999999</v>
      </c>
      <c r="L51" s="85">
        <f t="shared" si="7"/>
        <v>1.0999999999999899E-3</v>
      </c>
      <c r="M51" s="60"/>
      <c r="N51" s="85">
        <v>0.1154</v>
      </c>
      <c r="O51" s="85">
        <v>0.1145</v>
      </c>
      <c r="P51" s="85">
        <f t="shared" ref="P51:P57" si="18">O51-N51</f>
        <v>-8.9999999999999802E-4</v>
      </c>
    </row>
    <row r="52" spans="2:16" x14ac:dyDescent="0.35">
      <c r="B52" s="10" t="s">
        <v>114</v>
      </c>
      <c r="C52" s="71">
        <v>0.1318</v>
      </c>
      <c r="D52" s="71">
        <v>0.12498657911970756</v>
      </c>
      <c r="E52" s="71">
        <v>0.12119999999999999</v>
      </c>
      <c r="F52" s="85">
        <v>0.1136432884121565</v>
      </c>
      <c r="G52" s="85">
        <v>0.11852468775041411</v>
      </c>
      <c r="H52" s="85">
        <v>0.11381892467839186</v>
      </c>
      <c r="I52" s="85">
        <v>0.11403420074108145</v>
      </c>
      <c r="J52" s="85">
        <v>0.11296621112850605</v>
      </c>
      <c r="K52" s="85">
        <v>0.11770935114800513</v>
      </c>
      <c r="L52" s="85">
        <f t="shared" si="7"/>
        <v>4.7431400194990758E-3</v>
      </c>
      <c r="M52" s="60"/>
      <c r="N52" s="85">
        <v>0.1229</v>
      </c>
      <c r="O52" s="85">
        <v>0.13399276528381801</v>
      </c>
      <c r="P52" s="85">
        <f t="shared" si="18"/>
        <v>1.1092765283818015E-2</v>
      </c>
    </row>
    <row r="53" spans="2:16" x14ac:dyDescent="0.35">
      <c r="B53" s="10" t="s">
        <v>115</v>
      </c>
      <c r="C53" s="71">
        <f>C51-C52</f>
        <v>-1.9400000000000001E-2</v>
      </c>
      <c r="D53" s="71">
        <f>D51-D52</f>
        <v>-7.886579119707568E-3</v>
      </c>
      <c r="E53" s="71">
        <f>E51-E52</f>
        <v>1.4700000000000005E-2</v>
      </c>
      <c r="F53" s="85">
        <v>1.9556711587843514E-2</v>
      </c>
      <c r="G53" s="85">
        <f t="shared" ref="G53:H53" si="19">G51-G52</f>
        <v>4.8753122495858864E-3</v>
      </c>
      <c r="H53" s="85">
        <f t="shared" si="19"/>
        <v>3.5456309444740486E-3</v>
      </c>
      <c r="I53" s="85">
        <f>I51-I52</f>
        <v>1.3657992589185541E-3</v>
      </c>
      <c r="J53" s="85">
        <f t="shared" ref="J53:K53" si="20">J51-J52</f>
        <v>1.3337888714939489E-3</v>
      </c>
      <c r="K53" s="85">
        <f t="shared" si="20"/>
        <v>-2.3093511480051371E-3</v>
      </c>
      <c r="L53" s="85">
        <f t="shared" si="7"/>
        <v>-3.6431400194990859E-3</v>
      </c>
      <c r="M53" s="60"/>
      <c r="N53" s="85">
        <v>-7.4999999999999928E-3</v>
      </c>
      <c r="O53" s="85">
        <f t="shared" ref="O53" si="21">O51-O52</f>
        <v>-1.9492765283818006E-2</v>
      </c>
      <c r="P53" s="85">
        <f t="shared" si="18"/>
        <v>-1.1992765283818013E-2</v>
      </c>
    </row>
    <row r="54" spans="2:16" x14ac:dyDescent="0.35">
      <c r="B54" s="10" t="s">
        <v>116</v>
      </c>
      <c r="C54" s="72">
        <v>14.9</v>
      </c>
      <c r="D54" s="72">
        <v>15.7</v>
      </c>
      <c r="E54" s="72">
        <v>16.3</v>
      </c>
      <c r="F54" s="72">
        <v>17.2</v>
      </c>
      <c r="G54" s="72">
        <v>17.399999999999999</v>
      </c>
      <c r="H54" s="72">
        <v>17.600000000000001</v>
      </c>
      <c r="I54" s="72">
        <v>18.197716268826294</v>
      </c>
      <c r="J54" s="72">
        <v>18.80675140622996</v>
      </c>
      <c r="K54" s="72">
        <v>18.806052986252578</v>
      </c>
      <c r="L54" s="72">
        <f t="shared" si="7"/>
        <v>-6.9841997738251393E-4</v>
      </c>
      <c r="M54" s="60"/>
      <c r="N54" s="72">
        <v>4.8312900000000001</v>
      </c>
      <c r="O54" s="72">
        <v>4.3755453658461736</v>
      </c>
      <c r="P54" s="72">
        <f t="shared" si="18"/>
        <v>-0.45574463415382649</v>
      </c>
    </row>
    <row r="55" spans="2:16" x14ac:dyDescent="0.35">
      <c r="B55" s="12" t="s">
        <v>119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60"/>
      <c r="N55" s="70"/>
      <c r="O55" s="70"/>
      <c r="P55" s="70"/>
    </row>
    <row r="56" spans="2:16" x14ac:dyDescent="0.35">
      <c r="B56" s="10" t="s">
        <v>120</v>
      </c>
      <c r="C56" s="45">
        <v>7</v>
      </c>
      <c r="D56" s="45">
        <v>17</v>
      </c>
      <c r="E56" s="45">
        <v>36</v>
      </c>
      <c r="F56" s="45">
        <v>206</v>
      </c>
      <c r="G56" s="45">
        <v>314</v>
      </c>
      <c r="H56" s="45">
        <v>329</v>
      </c>
      <c r="I56" s="45">
        <v>315</v>
      </c>
      <c r="J56" s="45">
        <v>317.80665096400003</v>
      </c>
      <c r="K56" s="45">
        <v>759</v>
      </c>
      <c r="L56" s="45">
        <f t="shared" si="7"/>
        <v>441.19334903599997</v>
      </c>
      <c r="M56" s="60"/>
      <c r="N56" s="45">
        <v>149</v>
      </c>
      <c r="O56" s="45">
        <v>216</v>
      </c>
      <c r="P56" s="45">
        <f t="shared" si="18"/>
        <v>67</v>
      </c>
    </row>
    <row r="57" spans="2:16" x14ac:dyDescent="0.35">
      <c r="B57" s="10" t="s">
        <v>121</v>
      </c>
      <c r="C57" s="45">
        <v>0</v>
      </c>
      <c r="D57" s="45">
        <v>0</v>
      </c>
      <c r="E57" s="45">
        <v>18</v>
      </c>
      <c r="F57" s="45">
        <v>71</v>
      </c>
      <c r="G57" s="45">
        <v>99</v>
      </c>
      <c r="H57" s="45">
        <v>137</v>
      </c>
      <c r="I57" s="45">
        <v>131</v>
      </c>
      <c r="J57" s="45">
        <v>104.42475368000001</v>
      </c>
      <c r="K57" s="45">
        <v>147</v>
      </c>
      <c r="L57" s="45">
        <f t="shared" si="7"/>
        <v>42.575246319999991</v>
      </c>
      <c r="M57" s="60"/>
      <c r="N57" s="45">
        <v>29</v>
      </c>
      <c r="O57" s="45">
        <v>34</v>
      </c>
      <c r="P57" s="45">
        <f t="shared" si="18"/>
        <v>5</v>
      </c>
    </row>
    <row r="58" spans="2:16" x14ac:dyDescent="0.35">
      <c r="B58" s="12" t="s">
        <v>31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64"/>
      <c r="N58" s="70"/>
      <c r="O58" s="70"/>
      <c r="P58" s="70"/>
    </row>
    <row r="59" spans="2:16" x14ac:dyDescent="0.35">
      <c r="B59" s="6" t="s">
        <v>122</v>
      </c>
      <c r="C59" s="73">
        <v>207106</v>
      </c>
      <c r="D59" s="73">
        <v>211378</v>
      </c>
      <c r="E59" s="73">
        <v>217853</v>
      </c>
      <c r="F59" s="73">
        <v>219920</v>
      </c>
      <c r="G59" s="73">
        <v>226708</v>
      </c>
      <c r="H59" s="73">
        <v>231582</v>
      </c>
      <c r="I59" s="73">
        <v>236064</v>
      </c>
      <c r="J59" s="73">
        <v>309907</v>
      </c>
      <c r="K59" s="73">
        <v>317757</v>
      </c>
      <c r="L59" s="73">
        <f t="shared" si="7"/>
        <v>7850</v>
      </c>
      <c r="M59" s="60"/>
      <c r="N59" s="73">
        <v>312559</v>
      </c>
      <c r="O59" s="73">
        <v>320805</v>
      </c>
      <c r="P59" s="73">
        <f t="shared" ref="P59:P60" si="22">O59-N59</f>
        <v>8246</v>
      </c>
    </row>
    <row r="60" spans="2:16" x14ac:dyDescent="0.35">
      <c r="B60" s="6" t="s">
        <v>123</v>
      </c>
      <c r="C60" s="74">
        <v>9.9</v>
      </c>
      <c r="D60" s="74">
        <v>10.199999999999999</v>
      </c>
      <c r="E60" s="74">
        <v>10.5</v>
      </c>
      <c r="F60" s="74">
        <v>10.9</v>
      </c>
      <c r="G60" s="74">
        <v>10.9</v>
      </c>
      <c r="H60" s="74">
        <v>11.2</v>
      </c>
      <c r="I60" s="74">
        <v>11.446</v>
      </c>
      <c r="J60" s="74">
        <v>11.686964</v>
      </c>
      <c r="K60" s="74">
        <v>11.923643999999999</v>
      </c>
      <c r="L60" s="74">
        <f t="shared" si="7"/>
        <v>0.23667999999999978</v>
      </c>
      <c r="M60" s="60"/>
      <c r="N60" s="74">
        <v>11.732293</v>
      </c>
      <c r="O60" s="74">
        <v>12</v>
      </c>
      <c r="P60" s="74">
        <f t="shared" si="22"/>
        <v>0.2677069999999997</v>
      </c>
    </row>
    <row r="61" spans="2:16" x14ac:dyDescent="0.35">
      <c r="C61" s="75"/>
      <c r="D61" s="75"/>
      <c r="E61" s="75"/>
      <c r="F61" s="43"/>
      <c r="G61" s="43"/>
      <c r="H61" s="43"/>
      <c r="I61" s="43"/>
      <c r="J61" s="43"/>
      <c r="K61" s="43"/>
      <c r="L61" s="43"/>
      <c r="M61" s="60"/>
      <c r="N61" s="43"/>
      <c r="O61" s="43"/>
      <c r="P61" s="43"/>
    </row>
    <row r="62" spans="2:16" x14ac:dyDescent="0.35">
      <c r="C62" s="76"/>
      <c r="D62" s="76"/>
      <c r="E62" s="76"/>
      <c r="F62" s="76"/>
      <c r="G62" s="76"/>
      <c r="H62" s="76"/>
      <c r="I62" s="76"/>
      <c r="J62" s="76"/>
      <c r="K62" s="76"/>
      <c r="L62" s="43"/>
      <c r="M62" s="60"/>
      <c r="N62" s="76"/>
      <c r="O62" s="76"/>
      <c r="P62" s="43"/>
    </row>
    <row r="63" spans="2:16" x14ac:dyDescent="0.35">
      <c r="C63" s="43"/>
      <c r="D63" s="43"/>
      <c r="E63" s="43"/>
      <c r="F63" s="43"/>
      <c r="G63" s="43"/>
      <c r="H63" s="76"/>
      <c r="I63" s="76"/>
      <c r="J63" s="43"/>
      <c r="K63" s="43"/>
      <c r="L63" s="43"/>
      <c r="M63" s="60"/>
      <c r="N63" s="43"/>
      <c r="O63" s="43"/>
      <c r="P63" s="43"/>
    </row>
    <row r="64" spans="2:16" x14ac:dyDescent="0.35">
      <c r="H64" s="1"/>
      <c r="I64" s="1"/>
      <c r="J64" s="1"/>
      <c r="K64" s="1"/>
      <c r="N64" s="1"/>
      <c r="O64" s="1"/>
    </row>
    <row r="66" spans="3:16" x14ac:dyDescent="0.35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</row>
  </sheetData>
  <pageMargins left="0.25" right="0.25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Yildirim Kaan KARAKAYALI</cp:lastModifiedBy>
  <cp:lastPrinted>2023-05-04T14:41:02Z</cp:lastPrinted>
  <dcterms:created xsi:type="dcterms:W3CDTF">2023-02-21T17:44:05Z</dcterms:created>
  <dcterms:modified xsi:type="dcterms:W3CDTF">2023-05-04T14:42:20Z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30144137-5a7b-41be-8a99-efd263027814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22.02.2023, 22:12</vt:lpwstr>
  </property>
  <property fmtid="{D5CDD505-2E9C-101B-9397-08002B2CF9AE}" pid="5" name="LastClassifiedDate">
    <vt:lpwstr>22.02.2023, 22:12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