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8Aug\Fact Sheet\"/>
    </mc:Choice>
  </mc:AlternateContent>
  <xr:revisionPtr revIDLastSave="0" documentId="13_ncr:1_{73700A3F-684B-412B-A4E7-3D4775DDAC61}" xr6:coauthVersionLast="36" xr6:coauthVersionMax="36" xr10:uidLastSave="{00000000-0000-0000-0000-000000000000}"/>
  <bookViews>
    <workbookView xWindow="0" yWindow="0" windowWidth="19200" windowHeight="6760" xr2:uid="{00000000-000D-0000-FFFF-FFFF00000000}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L60" i="1"/>
  <c r="L60" i="3" l="1"/>
  <c r="H60" i="3"/>
  <c r="L59" i="3"/>
  <c r="H59" i="3"/>
  <c r="L57" i="3"/>
  <c r="H57" i="3"/>
  <c r="L56" i="3"/>
  <c r="H56" i="3"/>
  <c r="L54" i="3"/>
  <c r="H54" i="3"/>
  <c r="E53" i="3"/>
  <c r="D53" i="3"/>
  <c r="C53" i="3"/>
  <c r="L52" i="3"/>
  <c r="H52" i="3"/>
  <c r="K53" i="3"/>
  <c r="L53" i="3" s="1"/>
  <c r="H51" i="3"/>
  <c r="G53" i="3"/>
  <c r="F53" i="3"/>
  <c r="L49" i="3"/>
  <c r="H49" i="3"/>
  <c r="F48" i="3"/>
  <c r="E48" i="3"/>
  <c r="D48" i="3"/>
  <c r="C48" i="3"/>
  <c r="L47" i="3"/>
  <c r="H47" i="3"/>
  <c r="K48" i="3"/>
  <c r="L48" i="3" s="1"/>
  <c r="L46" i="3"/>
  <c r="H46" i="3"/>
  <c r="G48" i="3"/>
  <c r="H48" i="3" s="1"/>
  <c r="L44" i="3"/>
  <c r="H44" i="3"/>
  <c r="G43" i="3"/>
  <c r="H43" i="3" s="1"/>
  <c r="F43" i="3"/>
  <c r="D43" i="3"/>
  <c r="C43" i="3"/>
  <c r="L42" i="3"/>
  <c r="H42" i="3"/>
  <c r="E43" i="3"/>
  <c r="K43" i="3"/>
  <c r="L43" i="3" s="1"/>
  <c r="H41" i="3"/>
  <c r="L39" i="3"/>
  <c r="D39" i="3"/>
  <c r="C39" i="3"/>
  <c r="L38" i="3"/>
  <c r="F39" i="3"/>
  <c r="L37" i="3"/>
  <c r="H37" i="3"/>
  <c r="L36" i="3"/>
  <c r="H36" i="3"/>
  <c r="G34" i="3"/>
  <c r="H34" i="3" s="1"/>
  <c r="L32" i="3"/>
  <c r="H32" i="3"/>
  <c r="L30" i="3"/>
  <c r="H30" i="3"/>
  <c r="L29" i="3"/>
  <c r="H29" i="3"/>
  <c r="E28" i="3"/>
  <c r="D28" i="3"/>
  <c r="H27" i="3"/>
  <c r="F23" i="3"/>
  <c r="L22" i="3"/>
  <c r="H22" i="3"/>
  <c r="E23" i="3"/>
  <c r="L21" i="3"/>
  <c r="H21" i="3"/>
  <c r="L20" i="3"/>
  <c r="H20" i="3"/>
  <c r="K23" i="3"/>
  <c r="J23" i="3"/>
  <c r="H19" i="3"/>
  <c r="E29" i="3"/>
  <c r="L17" i="3"/>
  <c r="H17" i="3"/>
  <c r="L16" i="3"/>
  <c r="H16" i="3"/>
  <c r="L15" i="3"/>
  <c r="H15" i="3"/>
  <c r="L13" i="3"/>
  <c r="H13" i="3"/>
  <c r="L12" i="3"/>
  <c r="H12" i="3"/>
  <c r="K6" i="3"/>
  <c r="H11" i="3"/>
  <c r="H10" i="3"/>
  <c r="L9" i="3"/>
  <c r="H9" i="3"/>
  <c r="L8" i="3"/>
  <c r="G6" i="3"/>
  <c r="L7" i="3"/>
  <c r="J6" i="3"/>
  <c r="H7" i="3"/>
  <c r="E6" i="3"/>
  <c r="E14" i="3" s="1"/>
  <c r="E18" i="3" s="1"/>
  <c r="L5" i="3"/>
  <c r="H5" i="3"/>
  <c r="E30" i="3"/>
  <c r="L4" i="3"/>
  <c r="H4" i="3"/>
  <c r="H3" i="3"/>
  <c r="H2" i="3"/>
  <c r="L56" i="2"/>
  <c r="H56" i="2"/>
  <c r="L55" i="2"/>
  <c r="H55" i="2"/>
  <c r="K53" i="2"/>
  <c r="L53" i="2" s="1"/>
  <c r="H53" i="2"/>
  <c r="L52" i="2"/>
  <c r="H52" i="2"/>
  <c r="L50" i="2"/>
  <c r="H50" i="2"/>
  <c r="L49" i="2"/>
  <c r="H49" i="2"/>
  <c r="H47" i="2"/>
  <c r="L46" i="2"/>
  <c r="H46" i="2"/>
  <c r="L45" i="2"/>
  <c r="H45" i="2"/>
  <c r="L44" i="2"/>
  <c r="H44" i="2"/>
  <c r="L43" i="2"/>
  <c r="H43" i="2"/>
  <c r="L42" i="2"/>
  <c r="H42" i="2"/>
  <c r="L41" i="2"/>
  <c r="H41" i="2"/>
  <c r="K40" i="2"/>
  <c r="L40" i="2" s="1"/>
  <c r="F40" i="2"/>
  <c r="F38" i="2" s="1"/>
  <c r="E40" i="2"/>
  <c r="E38" i="2" s="1"/>
  <c r="L39" i="2"/>
  <c r="H39" i="2"/>
  <c r="J38" i="2"/>
  <c r="G33" i="2"/>
  <c r="E33" i="2"/>
  <c r="L32" i="2"/>
  <c r="H32" i="2"/>
  <c r="F33" i="2"/>
  <c r="D33" i="2"/>
  <c r="C33" i="2"/>
  <c r="L30" i="2"/>
  <c r="L28" i="2"/>
  <c r="D11" i="2"/>
  <c r="L27" i="2"/>
  <c r="C8" i="2"/>
  <c r="C7" i="2" s="1"/>
  <c r="L26" i="2"/>
  <c r="F25" i="2"/>
  <c r="J25" i="2"/>
  <c r="J29" i="2" s="1"/>
  <c r="J31" i="2" s="1"/>
  <c r="J33" i="2" s="1"/>
  <c r="H24" i="2"/>
  <c r="H23" i="2"/>
  <c r="G25" i="2"/>
  <c r="E25" i="2"/>
  <c r="D25" i="2"/>
  <c r="C25" i="2"/>
  <c r="L17" i="2"/>
  <c r="H17" i="2"/>
  <c r="D17" i="2"/>
  <c r="C17" i="2"/>
  <c r="L15" i="2"/>
  <c r="H15" i="2"/>
  <c r="L14" i="2"/>
  <c r="H14" i="2"/>
  <c r="L13" i="2"/>
  <c r="H13" i="2"/>
  <c r="L11" i="2"/>
  <c r="H11" i="2"/>
  <c r="J7" i="2"/>
  <c r="H10" i="2"/>
  <c r="L9" i="2"/>
  <c r="H9" i="2"/>
  <c r="L8" i="2"/>
  <c r="H8" i="2"/>
  <c r="F7" i="2"/>
  <c r="D8" i="2"/>
  <c r="D7" i="2" s="1"/>
  <c r="G7" i="2"/>
  <c r="L6" i="2"/>
  <c r="D6" i="2"/>
  <c r="C6" i="2"/>
  <c r="L5" i="2"/>
  <c r="L4" i="2"/>
  <c r="H3" i="2"/>
  <c r="H22" i="2" s="1"/>
  <c r="H2" i="2"/>
  <c r="H36" i="2" s="1"/>
  <c r="L65" i="1"/>
  <c r="J58" i="1"/>
  <c r="J62" i="1" s="1"/>
  <c r="L61" i="1"/>
  <c r="H61" i="1"/>
  <c r="L59" i="1"/>
  <c r="E58" i="1"/>
  <c r="L55" i="1"/>
  <c r="H55" i="1"/>
  <c r="L54" i="1"/>
  <c r="H54" i="1"/>
  <c r="D53" i="1"/>
  <c r="D56" i="1" s="1"/>
  <c r="C53" i="1"/>
  <c r="C56" i="1" s="1"/>
  <c r="L52" i="1"/>
  <c r="H52" i="1"/>
  <c r="G53" i="1"/>
  <c r="F53" i="1"/>
  <c r="F56" i="1" s="1"/>
  <c r="F59" i="1" s="1"/>
  <c r="E53" i="1"/>
  <c r="E56" i="1" s="1"/>
  <c r="E59" i="1" s="1"/>
  <c r="H49" i="1"/>
  <c r="D49" i="1"/>
  <c r="C49" i="1"/>
  <c r="H48" i="1"/>
  <c r="G60" i="1"/>
  <c r="F60" i="1"/>
  <c r="H47" i="1"/>
  <c r="L43" i="1"/>
  <c r="H43" i="1"/>
  <c r="L42" i="1"/>
  <c r="H42" i="1"/>
  <c r="L41" i="1"/>
  <c r="H41" i="1"/>
  <c r="L40" i="1"/>
  <c r="H40" i="1"/>
  <c r="L35" i="1"/>
  <c r="H35" i="1"/>
  <c r="L34" i="1"/>
  <c r="L33" i="1"/>
  <c r="H33" i="1"/>
  <c r="L32" i="1"/>
  <c r="H32" i="1"/>
  <c r="J31" i="1"/>
  <c r="J27" i="1" s="1"/>
  <c r="D31" i="1"/>
  <c r="D27" i="1" s="1"/>
  <c r="C31" i="1"/>
  <c r="C27" i="1" s="1"/>
  <c r="L30" i="1"/>
  <c r="H30" i="1"/>
  <c r="H29" i="1"/>
  <c r="C26" i="1"/>
  <c r="D25" i="1"/>
  <c r="C25" i="1"/>
  <c r="L21" i="1"/>
  <c r="L20" i="1"/>
  <c r="L16" i="1"/>
  <c r="H14" i="1"/>
  <c r="L13" i="1"/>
  <c r="H13" i="1"/>
  <c r="L12" i="1"/>
  <c r="K31" i="1"/>
  <c r="L28" i="1" s="1"/>
  <c r="G31" i="1"/>
  <c r="F31" i="1"/>
  <c r="F27" i="1" s="1"/>
  <c r="E31" i="1"/>
  <c r="E27" i="1" s="1"/>
  <c r="K25" i="1"/>
  <c r="L25" i="1" s="1"/>
  <c r="H10" i="1"/>
  <c r="G25" i="1"/>
  <c r="L8" i="1"/>
  <c r="H8" i="1"/>
  <c r="L7" i="1"/>
  <c r="H7" i="1"/>
  <c r="K6" i="1"/>
  <c r="K9" i="1" s="1"/>
  <c r="G6" i="1"/>
  <c r="F6" i="1"/>
  <c r="F9" i="1" s="1"/>
  <c r="F15" i="1" s="1"/>
  <c r="D6" i="1"/>
  <c r="D9" i="1" s="1"/>
  <c r="D15" i="1" s="1"/>
  <c r="C6" i="1"/>
  <c r="C9" i="1" s="1"/>
  <c r="C15" i="1" s="1"/>
  <c r="C17" i="1" s="1"/>
  <c r="C22" i="1" s="1"/>
  <c r="C63" i="1" s="1"/>
  <c r="L5" i="1"/>
  <c r="H5" i="1"/>
  <c r="L4" i="1"/>
  <c r="J6" i="1"/>
  <c r="J9" i="1" s="1"/>
  <c r="H4" i="1"/>
  <c r="E6" i="1"/>
  <c r="E9" i="1" s="1"/>
  <c r="E15" i="1" s="1"/>
  <c r="K34" i="3" l="1"/>
  <c r="L34" i="3" s="1"/>
  <c r="D12" i="2"/>
  <c r="E24" i="3"/>
  <c r="L6" i="3"/>
  <c r="H25" i="2"/>
  <c r="H37" i="2"/>
  <c r="K38" i="2"/>
  <c r="L38" i="2" s="1"/>
  <c r="H7" i="2"/>
  <c r="L6" i="1"/>
  <c r="E17" i="1"/>
  <c r="E22" i="1" s="1"/>
  <c r="E63" i="1" s="1"/>
  <c r="E24" i="1"/>
  <c r="E36" i="1" s="1"/>
  <c r="E45" i="1" s="1"/>
  <c r="G56" i="1"/>
  <c r="H53" i="1"/>
  <c r="J15" i="1"/>
  <c r="L10" i="1"/>
  <c r="H12" i="1"/>
  <c r="F17" i="1"/>
  <c r="F22" i="1" s="1"/>
  <c r="F63" i="1" s="1"/>
  <c r="F24" i="1"/>
  <c r="F36" i="1" s="1"/>
  <c r="F45" i="1" s="1"/>
  <c r="H34" i="1"/>
  <c r="J53" i="1"/>
  <c r="J56" i="1" s="1"/>
  <c r="H5" i="2"/>
  <c r="L10" i="2"/>
  <c r="L24" i="2"/>
  <c r="L23" i="3"/>
  <c r="F58" i="1"/>
  <c r="H31" i="1"/>
  <c r="H26" i="2"/>
  <c r="K15" i="1"/>
  <c r="L9" i="1"/>
  <c r="K27" i="1"/>
  <c r="L27" i="1" s="1"/>
  <c r="L51" i="1"/>
  <c r="K53" i="1"/>
  <c r="F12" i="2"/>
  <c r="F16" i="2" s="1"/>
  <c r="F18" i="2" s="1"/>
  <c r="H4" i="2"/>
  <c r="L23" i="2"/>
  <c r="K25" i="2"/>
  <c r="F29" i="2"/>
  <c r="H33" i="2"/>
  <c r="H53" i="3"/>
  <c r="L31" i="1"/>
  <c r="G12" i="2"/>
  <c r="G9" i="1"/>
  <c r="H6" i="1"/>
  <c r="L14" i="1"/>
  <c r="H60" i="1"/>
  <c r="G29" i="2"/>
  <c r="G30" i="2" s="1"/>
  <c r="H30" i="2" s="1"/>
  <c r="G58" i="1"/>
  <c r="H21" i="1"/>
  <c r="D17" i="1"/>
  <c r="D22" i="1" s="1"/>
  <c r="D63" i="1" s="1"/>
  <c r="D24" i="1"/>
  <c r="D36" i="1" s="1"/>
  <c r="D45" i="1" s="1"/>
  <c r="H65" i="1"/>
  <c r="J12" i="2"/>
  <c r="J16" i="2" s="1"/>
  <c r="J18" i="2" s="1"/>
  <c r="D29" i="2"/>
  <c r="D30" i="2" s="1"/>
  <c r="D15" i="2" s="1"/>
  <c r="D16" i="2" s="1"/>
  <c r="D18" i="2" s="1"/>
  <c r="J14" i="3"/>
  <c r="J18" i="3" s="1"/>
  <c r="J24" i="3" s="1"/>
  <c r="E33" i="3"/>
  <c r="F28" i="3" s="1"/>
  <c r="F33" i="3" s="1"/>
  <c r="E38" i="3"/>
  <c r="E39" i="3" s="1"/>
  <c r="H28" i="2"/>
  <c r="H6" i="2"/>
  <c r="L29" i="1"/>
  <c r="H25" i="1"/>
  <c r="H16" i="1"/>
  <c r="C24" i="1"/>
  <c r="C36" i="1" s="1"/>
  <c r="C45" i="1" s="1"/>
  <c r="E7" i="2"/>
  <c r="E12" i="2" s="1"/>
  <c r="K14" i="3"/>
  <c r="G14" i="3"/>
  <c r="H51" i="1"/>
  <c r="H21" i="2"/>
  <c r="H31" i="2"/>
  <c r="G39" i="3"/>
  <c r="H39" i="3" s="1"/>
  <c r="G40" i="2"/>
  <c r="H40" i="2" s="1"/>
  <c r="F6" i="3"/>
  <c r="H6" i="3" s="1"/>
  <c r="H8" i="3"/>
  <c r="L11" i="3"/>
  <c r="L19" i="3"/>
  <c r="G23" i="3"/>
  <c r="L41" i="3"/>
  <c r="K7" i="2"/>
  <c r="H27" i="2"/>
  <c r="L10" i="3"/>
  <c r="H38" i="3"/>
  <c r="L51" i="3"/>
  <c r="K18" i="3" l="1"/>
  <c r="L14" i="3"/>
  <c r="H29" i="2"/>
  <c r="C11" i="2"/>
  <c r="C12" i="2" s="1"/>
  <c r="C29" i="2"/>
  <c r="C30" i="2" s="1"/>
  <c r="C15" i="2" s="1"/>
  <c r="E29" i="2"/>
  <c r="E30" i="2" s="1"/>
  <c r="E16" i="2" s="1"/>
  <c r="E18" i="2" s="1"/>
  <c r="L25" i="2"/>
  <c r="K29" i="2"/>
  <c r="G59" i="1"/>
  <c r="H59" i="1" s="1"/>
  <c r="H56" i="1"/>
  <c r="J24" i="1"/>
  <c r="J36" i="1" s="1"/>
  <c r="J45" i="1" s="1"/>
  <c r="J46" i="1" s="1"/>
  <c r="J17" i="1"/>
  <c r="J22" i="1" s="1"/>
  <c r="C46" i="1"/>
  <c r="J28" i="3"/>
  <c r="J33" i="3" s="1"/>
  <c r="G28" i="3"/>
  <c r="L15" i="1"/>
  <c r="K17" i="1"/>
  <c r="K24" i="1"/>
  <c r="F46" i="1"/>
  <c r="E47" i="1"/>
  <c r="E46" i="1"/>
  <c r="G15" i="1"/>
  <c r="H9" i="1"/>
  <c r="F14" i="3"/>
  <c r="F18" i="3" s="1"/>
  <c r="F24" i="3" s="1"/>
  <c r="D46" i="1"/>
  <c r="H23" i="3"/>
  <c r="G18" i="3"/>
  <c r="H58" i="1"/>
  <c r="H12" i="2"/>
  <c r="G16" i="2"/>
  <c r="G27" i="1"/>
  <c r="H27" i="1" s="1"/>
  <c r="H28" i="1"/>
  <c r="L7" i="2"/>
  <c r="K12" i="2"/>
  <c r="G38" i="2"/>
  <c r="H38" i="2" s="1"/>
  <c r="K56" i="1"/>
  <c r="L53" i="1"/>
  <c r="G62" i="1" l="1"/>
  <c r="H62" i="1" s="1"/>
  <c r="K36" i="1"/>
  <c r="L24" i="1"/>
  <c r="G24" i="1"/>
  <c r="H15" i="1"/>
  <c r="G17" i="1"/>
  <c r="H18" i="3"/>
  <c r="H14" i="3"/>
  <c r="H28" i="3"/>
  <c r="G33" i="3"/>
  <c r="K31" i="2"/>
  <c r="L29" i="2"/>
  <c r="L17" i="1"/>
  <c r="K22" i="1"/>
  <c r="K16" i="2"/>
  <c r="L12" i="2"/>
  <c r="G24" i="3"/>
  <c r="H24" i="3" s="1"/>
  <c r="L18" i="3"/>
  <c r="K24" i="3"/>
  <c r="H16" i="2"/>
  <c r="G18" i="2"/>
  <c r="H18" i="2" s="1"/>
  <c r="L56" i="1"/>
  <c r="C16" i="2"/>
  <c r="C18" i="2" s="1"/>
  <c r="K58" i="1" l="1"/>
  <c r="K62" i="1" s="1"/>
  <c r="L62" i="1" s="1"/>
  <c r="L22" i="1"/>
  <c r="L24" i="3"/>
  <c r="G22" i="1"/>
  <c r="H17" i="1"/>
  <c r="K33" i="2"/>
  <c r="L31" i="2"/>
  <c r="G36" i="1"/>
  <c r="H24" i="1"/>
  <c r="H33" i="3"/>
  <c r="K28" i="3"/>
  <c r="L16" i="2"/>
  <c r="K18" i="2"/>
  <c r="K45" i="1"/>
  <c r="L36" i="1"/>
  <c r="L58" i="1" l="1"/>
  <c r="H22" i="1"/>
  <c r="G63" i="1"/>
  <c r="H63" i="1" s="1"/>
  <c r="L18" i="2"/>
  <c r="G45" i="1"/>
  <c r="H36" i="1"/>
  <c r="L33" i="2"/>
  <c r="L28" i="3"/>
  <c r="K33" i="3"/>
  <c r="K46" i="1"/>
  <c r="L46" i="1" s="1"/>
  <c r="L45" i="1"/>
  <c r="L33" i="3" l="1"/>
  <c r="H45" i="1"/>
  <c r="G46" i="1"/>
  <c r="H46" i="1" s="1"/>
</calcChain>
</file>

<file path=xl/sharedStrings.xml><?xml version="1.0" encoding="utf-8"?>
<sst xmlns="http://schemas.openxmlformats.org/spreadsheetml/2006/main" count="326" uniqueCount="127">
  <si>
    <t xml:space="preserve">Consolidated </t>
  </si>
  <si>
    <t>FY</t>
  </si>
  <si>
    <t>Delta</t>
  </si>
  <si>
    <t>H1</t>
  </si>
  <si>
    <t>Financials</t>
  </si>
  <si>
    <t>21-22</t>
  </si>
  <si>
    <t>22-23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</si>
  <si>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</si>
  <si>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</si>
  <si>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</si>
  <si>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</si>
  <si>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</si>
  <si>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</si>
  <si>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</si>
  <si>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</si>
  <si>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</si>
  <si>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</si>
  <si>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</si>
  <si>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</si>
  <si>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</si>
  <si>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</si>
  <si>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</si>
  <si>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</si>
  <si>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</si>
  <si>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</si>
  <si>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</si>
  <si>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</si>
  <si>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</si>
  <si>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</si>
  <si>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&amp; bond interest expense</t>
  </si>
  <si>
    <t>Average net loan &amp; bond financing rate (%)</t>
  </si>
  <si>
    <t>Average loan &amp; bond financing rate (%) - 
excluding impacts of cash and derivatives</t>
  </si>
  <si>
    <t>Operational FX gains / (losses)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</si>
  <si>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</si>
  <si>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</si>
  <si>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</si>
  <si>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</si>
  <si>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</si>
  <si>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</si>
  <si>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</si>
  <si>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Impact of asset revaluation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</si>
  <si>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</si>
  <si>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</si>
  <si>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</si>
  <si>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</si>
  <si>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</si>
  <si>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</si>
  <si>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</si>
  <si>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</si>
  <si>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</si>
  <si>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</si>
  <si>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</si>
  <si>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</si>
  <si>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</si>
  <si>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</si>
  <si>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</si>
  <si>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</si>
  <si>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</si>
  <si>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Economic Net Debt (Closing Balance)</t>
  </si>
  <si>
    <t>Retail</t>
  </si>
  <si>
    <t>Regulated gross profit</t>
  </si>
  <si>
    <t>Liberalised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</si>
  <si>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</si>
  <si>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</si>
  <si>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</si>
  <si>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</si>
  <si>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</si>
  <si>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</si>
  <si>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</si>
  <si>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</si>
  <si>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</si>
  <si>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</si>
  <si>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</si>
  <si>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</si>
  <si>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</si>
  <si>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</si>
  <si>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</si>
  <si>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</si>
  <si>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</si>
  <si>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</si>
  <si>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</si>
  <si>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</si>
  <si>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</si>
  <si>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</si>
  <si>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</si>
  <si>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</si>
  <si>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</si>
  <si>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</si>
  <si>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</si>
  <si>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</si>
  <si>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</si>
  <si>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</si>
  <si>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</si>
  <si>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</si>
  <si>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</si>
  <si>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</si>
  <si>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</si>
  <si>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</si>
  <si>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</si>
  <si>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</si>
  <si>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</si>
  <si>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</si>
  <si>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</si>
  <si>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</si>
  <si>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</si>
  <si>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</si>
  <si>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CAPEX related working capital effect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</si>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</sst>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165" fontId="0" fillId="0" borderId="0" xfId="1" applyNumberFormat="1" applyFon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applyNumberFormat="1" applyBorder="1" applyAlignment="1">
      <alignment horizontal="right" indent="1"/>
    </xf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0" fillId="3" borderId="2" xfId="0" applyNumberFormat="1" applyFont="1" applyFill="1" applyBorder="1" applyAlignment="1">
      <alignment horizontal="right" indent="1"/>
    </xf>
    <xf numFmtId="9" fontId="0" fillId="0" borderId="0" xfId="2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166" fontId="0" fillId="0" borderId="2" xfId="2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3" fontId="0" fillId="0" borderId="2" xfId="2" applyNumberFormat="1" applyFont="1" applyFill="1" applyBorder="1" applyAlignment="1">
      <alignment horizontal="righ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2" applyFont="1" applyFill="1" applyBorder="1" applyAlignment="1">
      <alignment horizontal="right" indent="1"/>
    </xf>
    <xf numFmtId="10" fontId="0" fillId="0" borderId="2" xfId="2" applyNumberFormat="1" applyFont="1" applyFill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1" xfId="0" applyBorder="1" applyAlignment="1">
      <alignment horizontal="left" indent="1"/>
    </xf>
    <xf numFmtId="167" fontId="3" fillId="2" borderId="2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168" fontId="0" fillId="0" borderId="0" xfId="0" applyNumberFormat="1"/>
    <xf numFmtId="164" fontId="0" fillId="0" borderId="0" xfId="1" applyFont="1" applyFill="1"/>
    <xf numFmtId="167" fontId="0" fillId="0" borderId="0" xfId="0" applyNumberFormat="1"/>
    <xf numFmtId="10" fontId="0" fillId="0" borderId="0" xfId="2" applyNumberFormat="1" applyFont="1"/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2" applyFont="1" applyAlignment="1">
      <alignment horizontal="right"/>
    </xf>
    <xf numFmtId="3" fontId="0" fillId="3" borderId="2" xfId="0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16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/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166" fontId="0" fillId="0" borderId="0" xfId="2" applyNumberFormat="1" applyFont="1" applyFill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Fill="1" applyBorder="1" applyAlignment="1">
      <alignment horizontal="right"/>
    </xf>
    <xf numFmtId="166" fontId="0" fillId="0" borderId="0" xfId="2" applyNumberFormat="1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6" fontId="0" fillId="0" borderId="0" xfId="2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2" applyNumberFormat="1" applyFont="1" applyFill="1" applyAlignment="1"/>
    <xf numFmtId="0" fontId="4" fillId="0" borderId="0" xfId="0" applyFont="1" applyFill="1" applyAlignment="1"/>
    <xf numFmtId="9" fontId="0" fillId="0" borderId="0" xfId="2" applyFont="1" applyFill="1" applyAlignment="1"/>
    <xf numFmtId="3" fontId="2" fillId="0" borderId="2" xfId="0" applyNumberFormat="1" applyFont="1" applyFill="1" applyBorder="1" applyAlignment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 applyAlignment="1"/>
    <xf numFmtId="166" fontId="0" fillId="0" borderId="2" xfId="2" applyNumberFormat="1" applyFont="1" applyFill="1" applyBorder="1" applyAlignment="1"/>
    <xf numFmtId="166" fontId="0" fillId="0" borderId="2" xfId="2" applyNumberFormat="1" applyFont="1" applyBorder="1" applyAlignment="1"/>
    <xf numFmtId="167" fontId="0" fillId="0" borderId="2" xfId="0" applyNumberFormat="1" applyFill="1" applyBorder="1" applyAlignment="1"/>
    <xf numFmtId="3" fontId="0" fillId="0" borderId="0" xfId="0" applyNumberFormat="1" applyFill="1" applyBorder="1" applyAlignment="1"/>
    <xf numFmtId="167" fontId="0" fillId="0" borderId="0" xfId="0" applyNumberFormat="1" applyFill="1" applyBorder="1" applyAlignment="1"/>
    <xf numFmtId="3" fontId="0" fillId="0" borderId="0" xfId="0" applyNumberFormat="1" applyAlignment="1"/>
    <xf numFmtId="3" fontId="7" fillId="0" borderId="0" xfId="0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2"/>
  <sheetViews>
    <sheetView showGridLines="0" tabSelected="1" zoomScale="80" zoomScaleNormal="80" workbookViewId="0">
      <pane xSplit="2" ySplit="3" topLeftCell="C25" activePane="bottomRight" state="frozen"/>
      <selection activeCell="K24" sqref="K24"/>
      <selection pane="topRight" activeCell="K24" sqref="K24"/>
      <selection pane="bottomLeft" activeCell="K24" sqref="K24"/>
      <selection pane="bottomRight" activeCell="L13" sqref="L13"/>
    </sheetView>
  </sheetViews>
  <sheetFormatPr defaultColWidth="8.90625" defaultRowHeight="14.5" x14ac:dyDescent="0.35"/>
  <cols>
    <col min="1" max="1" width="8.453125" customWidth="1"/>
    <col min="2" max="2" width="55.6328125" customWidth="1"/>
    <col min="3" max="3" width="11.453125" customWidth="1"/>
    <col min="4" max="7" width="13" customWidth="1"/>
    <col min="8" max="8" width="11.453125" customWidth="1"/>
    <col min="9" max="9" width="2.90625" style="2" customWidth="1"/>
    <col min="10" max="10" width="13" bestFit="1" customWidth="1"/>
    <col min="11" max="11" width="13" customWidth="1"/>
    <col min="12" max="12" width="11.453125" bestFit="1" customWidth="1"/>
  </cols>
  <sheetData>
    <row r="1" spans="2:15" x14ac:dyDescent="0.35">
      <c r="C1" s="1"/>
      <c r="D1" s="1"/>
      <c r="E1" s="1"/>
      <c r="F1" s="1"/>
      <c r="G1" s="1"/>
      <c r="H1" s="1"/>
      <c r="J1" s="1"/>
      <c r="K1" s="1"/>
      <c r="L1" s="3"/>
    </row>
    <row r="2" spans="2:15" x14ac:dyDescent="0.3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2</v>
      </c>
      <c r="I2" s="7"/>
      <c r="J2" s="6" t="s">
        <v>3</v>
      </c>
      <c r="K2" s="6" t="s">
        <v>3</v>
      </c>
      <c r="L2" s="6" t="s">
        <v>2</v>
      </c>
    </row>
    <row r="3" spans="2:15" ht="15" thickBot="1" x14ac:dyDescent="0.4">
      <c r="B3" s="8" t="s">
        <v>4</v>
      </c>
      <c r="C3" s="9">
        <v>2018</v>
      </c>
      <c r="D3" s="9">
        <v>2019</v>
      </c>
      <c r="E3" s="9">
        <v>2020</v>
      </c>
      <c r="F3" s="9">
        <v>2021</v>
      </c>
      <c r="G3" s="9">
        <v>2022</v>
      </c>
      <c r="H3" s="10" t="s">
        <v>5</v>
      </c>
      <c r="I3" s="7"/>
      <c r="J3" s="9">
        <v>2022</v>
      </c>
      <c r="K3" s="9">
        <v>2023</v>
      </c>
      <c r="L3" s="10" t="s">
        <v>6</v>
      </c>
    </row>
    <row r="4" spans="2:15" x14ac:dyDescent="0.35">
      <c r="B4" s="11" t="s">
        <v>7</v>
      </c>
      <c r="C4" s="12">
        <v>18347</v>
      </c>
      <c r="D4" s="12">
        <v>19453</v>
      </c>
      <c r="E4" s="12">
        <v>21757</v>
      </c>
      <c r="F4" s="12">
        <v>32994</v>
      </c>
      <c r="G4" s="12">
        <v>84449</v>
      </c>
      <c r="H4" s="12">
        <f>G4-F4</f>
        <v>51455</v>
      </c>
      <c r="J4" s="12">
        <v>37051</v>
      </c>
      <c r="K4" s="12">
        <v>58117</v>
      </c>
      <c r="L4" s="12">
        <f>K4-J4</f>
        <v>21066</v>
      </c>
    </row>
    <row r="5" spans="2:15" x14ac:dyDescent="0.35">
      <c r="B5" s="11" t="s">
        <v>8</v>
      </c>
      <c r="C5" s="12">
        <v>-12380</v>
      </c>
      <c r="D5" s="12">
        <v>-14109</v>
      </c>
      <c r="E5" s="12">
        <v>-16118</v>
      </c>
      <c r="F5" s="12">
        <v>-24712</v>
      </c>
      <c r="G5" s="12">
        <v>-72663</v>
      </c>
      <c r="H5" s="12">
        <f t="shared" ref="H5:H65" si="0">G5-F5</f>
        <v>-47951</v>
      </c>
      <c r="J5" s="12">
        <v>-32128</v>
      </c>
      <c r="K5" s="12">
        <v>-49363</v>
      </c>
      <c r="L5" s="12">
        <f t="shared" ref="L5:L10" si="1">K5-J5</f>
        <v>-17235</v>
      </c>
    </row>
    <row r="6" spans="2:15" x14ac:dyDescent="0.35">
      <c r="B6" s="13" t="s">
        <v>9</v>
      </c>
      <c r="C6" s="14">
        <f>SUM(C4:C5)</f>
        <v>5967</v>
      </c>
      <c r="D6" s="14">
        <f>SUM(D4:D5)</f>
        <v>5344</v>
      </c>
      <c r="E6" s="14">
        <f>SUM(E4:E5)</f>
        <v>5639</v>
      </c>
      <c r="F6" s="14">
        <f>SUM(F4:F5)</f>
        <v>8282</v>
      </c>
      <c r="G6" s="14">
        <f>SUM(G4:G5)</f>
        <v>11786</v>
      </c>
      <c r="H6" s="14">
        <f t="shared" si="0"/>
        <v>3504</v>
      </c>
      <c r="I6" s="15"/>
      <c r="J6" s="14">
        <f>SUM(J4:J5)</f>
        <v>4923</v>
      </c>
      <c r="K6" s="14">
        <f>SUM(K4:K5)</f>
        <v>8754</v>
      </c>
      <c r="L6" s="14">
        <f t="shared" si="1"/>
        <v>3831</v>
      </c>
    </row>
    <row r="7" spans="2:15" x14ac:dyDescent="0.35">
      <c r="B7" s="11" t="s">
        <v>10</v>
      </c>
      <c r="C7" s="12">
        <v>-1849</v>
      </c>
      <c r="D7" s="12">
        <v>-2170</v>
      </c>
      <c r="E7" s="12">
        <v>-2543</v>
      </c>
      <c r="F7" s="12">
        <v>-3383</v>
      </c>
      <c r="G7" s="12">
        <v>-3692</v>
      </c>
      <c r="H7" s="12">
        <f t="shared" si="0"/>
        <v>-309</v>
      </c>
      <c r="J7" s="12">
        <v>-1419</v>
      </c>
      <c r="K7" s="12">
        <v>-3049</v>
      </c>
      <c r="L7" s="12">
        <f t="shared" si="1"/>
        <v>-1630</v>
      </c>
    </row>
    <row r="8" spans="2:15" x14ac:dyDescent="0.35">
      <c r="B8" s="11" t="s">
        <v>11</v>
      </c>
      <c r="C8" s="12">
        <v>-1307</v>
      </c>
      <c r="D8" s="12">
        <v>-110</v>
      </c>
      <c r="E8" s="12">
        <v>-358</v>
      </c>
      <c r="F8" s="12">
        <v>-385</v>
      </c>
      <c r="G8" s="12">
        <v>254</v>
      </c>
      <c r="H8" s="12">
        <f t="shared" si="0"/>
        <v>639</v>
      </c>
      <c r="J8" s="16">
        <v>74</v>
      </c>
      <c r="K8" s="16">
        <v>-946</v>
      </c>
      <c r="L8" s="12">
        <f t="shared" si="1"/>
        <v>-1020</v>
      </c>
    </row>
    <row r="9" spans="2:15" x14ac:dyDescent="0.35">
      <c r="B9" s="13" t="s">
        <v>12</v>
      </c>
      <c r="C9" s="14">
        <f>SUM(C6:C8)</f>
        <v>2811</v>
      </c>
      <c r="D9" s="14">
        <f>SUM(D6:D8)</f>
        <v>3064</v>
      </c>
      <c r="E9" s="14">
        <f>SUM(E6:E8)</f>
        <v>2738</v>
      </c>
      <c r="F9" s="14">
        <f>SUM(F6:F8)</f>
        <v>4514</v>
      </c>
      <c r="G9" s="14">
        <f>SUM(G6:G8)</f>
        <v>8348</v>
      </c>
      <c r="H9" s="14">
        <f t="shared" si="0"/>
        <v>3834</v>
      </c>
      <c r="I9" s="15"/>
      <c r="J9" s="14">
        <f>SUM(J6:J8)</f>
        <v>3578</v>
      </c>
      <c r="K9" s="14">
        <f>SUM(K6:K8)</f>
        <v>4759</v>
      </c>
      <c r="L9" s="14">
        <f t="shared" si="1"/>
        <v>1181</v>
      </c>
    </row>
    <row r="10" spans="2:15" x14ac:dyDescent="0.35">
      <c r="B10" s="11" t="s">
        <v>13</v>
      </c>
      <c r="C10" s="12">
        <v>258</v>
      </c>
      <c r="D10" s="12">
        <v>373</v>
      </c>
      <c r="E10" s="12">
        <v>444</v>
      </c>
      <c r="F10" s="12">
        <v>473</v>
      </c>
      <c r="G10" s="12">
        <v>569</v>
      </c>
      <c r="H10" s="12">
        <f t="shared" si="0"/>
        <v>96</v>
      </c>
      <c r="J10" s="12">
        <v>263</v>
      </c>
      <c r="K10" s="12">
        <v>345</v>
      </c>
      <c r="L10" s="12">
        <f t="shared" si="1"/>
        <v>82</v>
      </c>
    </row>
    <row r="11" spans="2:15" x14ac:dyDescent="0.35">
      <c r="B11" s="11" t="s">
        <v>14</v>
      </c>
      <c r="C11" s="12">
        <v>753</v>
      </c>
      <c r="D11" s="12" t="s">
        <v>15</v>
      </c>
      <c r="E11" s="12" t="s">
        <v>15</v>
      </c>
      <c r="F11" s="12" t="s">
        <v>15</v>
      </c>
      <c r="G11" s="12" t="s">
        <v>15</v>
      </c>
      <c r="H11" s="12" t="s">
        <v>15</v>
      </c>
      <c r="J11" s="12" t="s">
        <v>15</v>
      </c>
      <c r="K11" s="12" t="s">
        <v>15</v>
      </c>
      <c r="L11" s="12" t="s">
        <v>15</v>
      </c>
    </row>
    <row r="12" spans="2:15" x14ac:dyDescent="0.35">
      <c r="B12" s="11" t="s">
        <v>16</v>
      </c>
      <c r="C12" s="17">
        <v>44</v>
      </c>
      <c r="D12" s="17">
        <v>4</v>
      </c>
      <c r="E12" s="12">
        <v>28</v>
      </c>
      <c r="F12" s="12">
        <v>262</v>
      </c>
      <c r="G12" s="12">
        <v>274</v>
      </c>
      <c r="H12" s="12">
        <f t="shared" si="0"/>
        <v>12</v>
      </c>
      <c r="J12" s="12">
        <v>162</v>
      </c>
      <c r="K12" s="12">
        <v>678</v>
      </c>
      <c r="L12" s="12">
        <f t="shared" ref="L12:L17" si="2">K12-J12</f>
        <v>516</v>
      </c>
    </row>
    <row r="13" spans="2:15" x14ac:dyDescent="0.35">
      <c r="B13" s="11" t="s">
        <v>17</v>
      </c>
      <c r="C13" s="17">
        <v>243</v>
      </c>
      <c r="D13" s="17">
        <v>114</v>
      </c>
      <c r="E13" s="12">
        <v>162</v>
      </c>
      <c r="F13" s="12">
        <v>306</v>
      </c>
      <c r="G13" s="12">
        <v>1681</v>
      </c>
      <c r="H13" s="12">
        <f t="shared" si="0"/>
        <v>1375</v>
      </c>
      <c r="J13" s="12">
        <v>1074</v>
      </c>
      <c r="K13" s="12">
        <v>774</v>
      </c>
      <c r="L13" s="12">
        <f t="shared" si="2"/>
        <v>-300</v>
      </c>
    </row>
    <row r="14" spans="2:15" x14ac:dyDescent="0.35">
      <c r="B14" s="11" t="s">
        <v>18</v>
      </c>
      <c r="C14" s="17">
        <v>-44</v>
      </c>
      <c r="D14" s="17">
        <v>-186</v>
      </c>
      <c r="E14" s="12">
        <v>-30</v>
      </c>
      <c r="F14" s="12">
        <v>-56</v>
      </c>
      <c r="G14" s="12">
        <v>-1009</v>
      </c>
      <c r="H14" s="12">
        <f t="shared" si="0"/>
        <v>-953</v>
      </c>
      <c r="J14" s="12">
        <v>-421</v>
      </c>
      <c r="K14" s="12">
        <v>-45</v>
      </c>
      <c r="L14" s="12">
        <f t="shared" si="2"/>
        <v>376</v>
      </c>
    </row>
    <row r="15" spans="2:15" x14ac:dyDescent="0.35">
      <c r="B15" s="13" t="s">
        <v>19</v>
      </c>
      <c r="C15" s="14">
        <f>SUM(C9:C14)</f>
        <v>4065</v>
      </c>
      <c r="D15" s="14">
        <f>SUM(D9:D14)</f>
        <v>3369</v>
      </c>
      <c r="E15" s="14">
        <f>SUM(E9:E14)</f>
        <v>3342</v>
      </c>
      <c r="F15" s="14">
        <f>SUM(F9:F14)</f>
        <v>5499</v>
      </c>
      <c r="G15" s="14">
        <f>SUM(G9:G14)</f>
        <v>9863</v>
      </c>
      <c r="H15" s="14">
        <f t="shared" si="0"/>
        <v>4364</v>
      </c>
      <c r="I15" s="15"/>
      <c r="J15" s="14">
        <f>SUM(J9:J14)</f>
        <v>4656</v>
      </c>
      <c r="K15" s="14">
        <f>SUM(K9:K14)</f>
        <v>6511</v>
      </c>
      <c r="L15" s="14">
        <f t="shared" si="2"/>
        <v>1855</v>
      </c>
    </row>
    <row r="16" spans="2:15" s="4" customFormat="1" x14ac:dyDescent="0.35">
      <c r="B16" s="18" t="s">
        <v>20</v>
      </c>
      <c r="C16" s="12">
        <v>798</v>
      </c>
      <c r="D16" s="12">
        <v>1058</v>
      </c>
      <c r="E16" s="12">
        <v>1342</v>
      </c>
      <c r="F16" s="12">
        <v>2101</v>
      </c>
      <c r="G16" s="12">
        <v>4119</v>
      </c>
      <c r="H16" s="19">
        <f t="shared" si="0"/>
        <v>2018</v>
      </c>
      <c r="I16" s="2"/>
      <c r="J16" s="12">
        <v>2059</v>
      </c>
      <c r="K16" s="12">
        <v>3088</v>
      </c>
      <c r="L16" s="19">
        <f t="shared" si="2"/>
        <v>1029</v>
      </c>
      <c r="M16"/>
      <c r="N16"/>
      <c r="O16"/>
    </row>
    <row r="17" spans="2:15" s="4" customFormat="1" x14ac:dyDescent="0.35">
      <c r="B17" s="13" t="s">
        <v>21</v>
      </c>
      <c r="C17" s="14">
        <f>SUM(C15:C16)+1</f>
        <v>4864</v>
      </c>
      <c r="D17" s="14">
        <f>SUM(D15:D16)</f>
        <v>4427</v>
      </c>
      <c r="E17" s="14">
        <f>SUM(E15:E16)</f>
        <v>4684</v>
      </c>
      <c r="F17" s="14">
        <f>SUM(F15:F16)</f>
        <v>7600</v>
      </c>
      <c r="G17" s="14">
        <f>SUM(G15:G16)</f>
        <v>13982</v>
      </c>
      <c r="H17" s="14">
        <f t="shared" si="0"/>
        <v>6382</v>
      </c>
      <c r="I17" s="15"/>
      <c r="J17" s="14">
        <f>SUM(J15:J16)</f>
        <v>6715</v>
      </c>
      <c r="K17" s="14">
        <f>SUM(K15:K16)</f>
        <v>9599</v>
      </c>
      <c r="L17" s="14">
        <f t="shared" si="2"/>
        <v>2884</v>
      </c>
      <c r="M17"/>
      <c r="N17"/>
      <c r="O17"/>
    </row>
    <row r="18" spans="2:15" s="4" customFormat="1" x14ac:dyDescent="0.35">
      <c r="B18" s="18" t="s">
        <v>22</v>
      </c>
      <c r="C18" s="12">
        <v>-984</v>
      </c>
      <c r="D18" s="12">
        <v>230</v>
      </c>
      <c r="E18" s="12">
        <v>395</v>
      </c>
      <c r="F18" s="12" t="s">
        <v>15</v>
      </c>
      <c r="G18" s="12" t="s">
        <v>15</v>
      </c>
      <c r="H18" s="12" t="s">
        <v>15</v>
      </c>
      <c r="I18" s="2"/>
      <c r="J18" s="12" t="s">
        <v>15</v>
      </c>
      <c r="K18" s="12" t="s">
        <v>15</v>
      </c>
      <c r="L18" s="12" t="s">
        <v>15</v>
      </c>
      <c r="M18"/>
      <c r="N18"/>
      <c r="O18"/>
    </row>
    <row r="19" spans="2:15" s="4" customFormat="1" x14ac:dyDescent="0.35">
      <c r="B19" s="18" t="s">
        <v>23</v>
      </c>
      <c r="C19" s="12">
        <v>107</v>
      </c>
      <c r="D19" s="17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I19" s="2"/>
      <c r="J19" s="12" t="s">
        <v>15</v>
      </c>
      <c r="K19" s="12" t="s">
        <v>15</v>
      </c>
      <c r="L19" s="12" t="s">
        <v>15</v>
      </c>
      <c r="M19"/>
      <c r="N19"/>
      <c r="O19"/>
    </row>
    <row r="20" spans="2:15" s="4" customFormat="1" x14ac:dyDescent="0.35">
      <c r="B20" s="18" t="s">
        <v>24</v>
      </c>
      <c r="C20" s="12">
        <v>-142</v>
      </c>
      <c r="D20" s="12">
        <v>-48</v>
      </c>
      <c r="E20" s="12">
        <v>469</v>
      </c>
      <c r="F20" s="12">
        <v>-12</v>
      </c>
      <c r="G20" s="12">
        <v>51</v>
      </c>
      <c r="H20" s="19">
        <f>G20-F20</f>
        <v>63</v>
      </c>
      <c r="I20" s="2"/>
      <c r="J20" s="12" t="s">
        <v>15</v>
      </c>
      <c r="K20" s="20">
        <v>87</v>
      </c>
      <c r="L20" s="12">
        <f>K20</f>
        <v>87</v>
      </c>
      <c r="M20"/>
      <c r="N20"/>
      <c r="O20"/>
    </row>
    <row r="21" spans="2:15" s="4" customFormat="1" x14ac:dyDescent="0.35">
      <c r="B21" s="18" t="s">
        <v>25</v>
      </c>
      <c r="C21" s="17" t="s">
        <v>15</v>
      </c>
      <c r="D21" s="17" t="s">
        <v>15</v>
      </c>
      <c r="E21" s="12">
        <v>60.7</v>
      </c>
      <c r="F21" s="12">
        <v>-94</v>
      </c>
      <c r="G21" s="12">
        <v>1058</v>
      </c>
      <c r="H21" s="19">
        <f t="shared" si="0"/>
        <v>1152</v>
      </c>
      <c r="I21" s="2"/>
      <c r="J21" s="12">
        <v>-51</v>
      </c>
      <c r="K21" s="20">
        <v>252</v>
      </c>
      <c r="L21" s="19">
        <f t="shared" ref="L21:L22" si="3">K21-J21</f>
        <v>303</v>
      </c>
      <c r="M21"/>
      <c r="N21"/>
      <c r="O21"/>
    </row>
    <row r="22" spans="2:15" s="4" customFormat="1" x14ac:dyDescent="0.35">
      <c r="B22" s="13" t="s">
        <v>26</v>
      </c>
      <c r="C22" s="14">
        <f t="shared" ref="C22:G22" si="4">SUM(C17:C21)</f>
        <v>3845</v>
      </c>
      <c r="D22" s="14">
        <f t="shared" si="4"/>
        <v>4609</v>
      </c>
      <c r="E22" s="14">
        <f t="shared" si="4"/>
        <v>5608.7</v>
      </c>
      <c r="F22" s="14">
        <f t="shared" si="4"/>
        <v>7494</v>
      </c>
      <c r="G22" s="14">
        <f t="shared" si="4"/>
        <v>15091</v>
      </c>
      <c r="H22" s="14">
        <f t="shared" si="0"/>
        <v>7597</v>
      </c>
      <c r="I22" s="15"/>
      <c r="J22" s="14">
        <f>SUM(J17:J21)</f>
        <v>6664</v>
      </c>
      <c r="K22" s="14">
        <f>SUM(K17:K21)</f>
        <v>9938</v>
      </c>
      <c r="L22" s="14">
        <f t="shared" si="3"/>
        <v>3274</v>
      </c>
      <c r="M22"/>
      <c r="N22"/>
      <c r="O22"/>
    </row>
    <row r="23" spans="2:15" s="4" customFormat="1" x14ac:dyDescent="0.35">
      <c r="B23" s="5"/>
      <c r="C23" s="22"/>
      <c r="D23" s="22"/>
      <c r="E23" s="22"/>
      <c r="F23" s="22"/>
      <c r="G23" s="22"/>
      <c r="H23" s="22"/>
      <c r="I23" s="2"/>
      <c r="J23" s="22"/>
      <c r="K23" s="22"/>
      <c r="L23" s="22"/>
      <c r="M23"/>
      <c r="N23"/>
      <c r="O23"/>
    </row>
    <row r="24" spans="2:15" s="4" customFormat="1" x14ac:dyDescent="0.35">
      <c r="B24" s="13" t="s">
        <v>19</v>
      </c>
      <c r="C24" s="14">
        <f t="shared" ref="C24:G24" si="5">C15</f>
        <v>4065</v>
      </c>
      <c r="D24" s="14">
        <f t="shared" si="5"/>
        <v>3369</v>
      </c>
      <c r="E24" s="14">
        <f t="shared" si="5"/>
        <v>3342</v>
      </c>
      <c r="F24" s="14">
        <f t="shared" si="5"/>
        <v>5499</v>
      </c>
      <c r="G24" s="14">
        <f t="shared" si="5"/>
        <v>9863</v>
      </c>
      <c r="H24" s="14">
        <f t="shared" si="0"/>
        <v>4364</v>
      </c>
      <c r="I24" s="15"/>
      <c r="J24" s="14">
        <f>J15</f>
        <v>4656</v>
      </c>
      <c r="K24" s="14">
        <f>K15</f>
        <v>6511</v>
      </c>
      <c r="L24" s="14">
        <f t="shared" ref="L24:L25" si="6">K24-J24</f>
        <v>1855</v>
      </c>
      <c r="M24"/>
      <c r="N24"/>
      <c r="O24"/>
    </row>
    <row r="25" spans="2:15" s="4" customFormat="1" x14ac:dyDescent="0.35">
      <c r="B25" s="11" t="s">
        <v>27</v>
      </c>
      <c r="C25" s="12">
        <f>-C10</f>
        <v>-258</v>
      </c>
      <c r="D25" s="12">
        <f>-D10</f>
        <v>-373</v>
      </c>
      <c r="E25" s="12">
        <v>-444</v>
      </c>
      <c r="F25" s="12">
        <v>-473</v>
      </c>
      <c r="G25" s="12">
        <f>-G10</f>
        <v>-569</v>
      </c>
      <c r="H25" s="12">
        <f t="shared" si="0"/>
        <v>-96</v>
      </c>
      <c r="I25" s="2"/>
      <c r="J25" s="12">
        <v>-263</v>
      </c>
      <c r="K25" s="12">
        <f>-K10</f>
        <v>-345</v>
      </c>
      <c r="L25" s="12">
        <f t="shared" si="6"/>
        <v>-82</v>
      </c>
      <c r="M25"/>
      <c r="N25"/>
      <c r="O25"/>
    </row>
    <row r="26" spans="2:15" s="4" customFormat="1" x14ac:dyDescent="0.35">
      <c r="B26" s="11" t="s">
        <v>14</v>
      </c>
      <c r="C26" s="12">
        <f>-C11</f>
        <v>-753</v>
      </c>
      <c r="D26" s="17" t="s">
        <v>15</v>
      </c>
      <c r="E26" s="17" t="s">
        <v>15</v>
      </c>
      <c r="F26" s="12" t="s">
        <v>15</v>
      </c>
      <c r="G26" s="12" t="s">
        <v>15</v>
      </c>
      <c r="H26" s="12" t="s">
        <v>15</v>
      </c>
      <c r="I26" s="2"/>
      <c r="J26" s="12" t="s">
        <v>15</v>
      </c>
      <c r="K26" s="12" t="s">
        <v>15</v>
      </c>
      <c r="L26" s="12" t="s">
        <v>15</v>
      </c>
      <c r="M26"/>
      <c r="N26"/>
      <c r="O26"/>
    </row>
    <row r="27" spans="2:15" s="4" customFormat="1" x14ac:dyDescent="0.35">
      <c r="B27" s="11" t="s">
        <v>28</v>
      </c>
      <c r="C27" s="12">
        <f t="shared" ref="C27:G27" si="7">SUM(C28,C31:C34)</f>
        <v>-1732</v>
      </c>
      <c r="D27" s="12">
        <f t="shared" si="7"/>
        <v>-1604</v>
      </c>
      <c r="E27" s="12">
        <f t="shared" si="7"/>
        <v>-1485</v>
      </c>
      <c r="F27" s="12">
        <f t="shared" si="7"/>
        <v>-1883</v>
      </c>
      <c r="G27" s="12">
        <f t="shared" si="7"/>
        <v>-4847</v>
      </c>
      <c r="H27" s="12">
        <f t="shared" si="0"/>
        <v>-2964</v>
      </c>
      <c r="I27" s="2"/>
      <c r="J27" s="12">
        <f>SUM(J28,J31:J34)</f>
        <v>-2729</v>
      </c>
      <c r="K27" s="12">
        <f>SUM(K28,K31:K34)</f>
        <v>-3055</v>
      </c>
      <c r="L27" s="12">
        <f t="shared" ref="L27:L65" si="8">K27-J27</f>
        <v>-326</v>
      </c>
      <c r="M27"/>
      <c r="N27"/>
      <c r="O27"/>
    </row>
    <row r="28" spans="2:15" s="4" customFormat="1" x14ac:dyDescent="0.35">
      <c r="B28" s="23" t="s">
        <v>29</v>
      </c>
      <c r="C28" s="12">
        <v>-1550</v>
      </c>
      <c r="D28" s="12">
        <v>-1583</v>
      </c>
      <c r="E28" s="12">
        <v>-1191</v>
      </c>
      <c r="F28" s="12">
        <v>-1301</v>
      </c>
      <c r="G28" s="12">
        <v>-3709</v>
      </c>
      <c r="H28" s="12">
        <f t="shared" si="0"/>
        <v>-2408</v>
      </c>
      <c r="I28" s="2"/>
      <c r="J28" s="12">
        <v>-1823</v>
      </c>
      <c r="K28" s="12">
        <v>-1488</v>
      </c>
      <c r="L28" s="12">
        <f t="shared" si="8"/>
        <v>335</v>
      </c>
      <c r="M28"/>
      <c r="N28"/>
      <c r="O28"/>
    </row>
    <row r="29" spans="2:15" s="4" customFormat="1" x14ac:dyDescent="0.35">
      <c r="B29" s="24" t="s">
        <v>30</v>
      </c>
      <c r="C29" s="26">
        <v>0.18609285477519005</v>
      </c>
      <c r="D29" s="26">
        <v>0.17145324982005408</v>
      </c>
      <c r="E29" s="26">
        <v>0.12251843895044116</v>
      </c>
      <c r="F29" s="25">
        <v>0.14068534156345752</v>
      </c>
      <c r="G29" s="25">
        <v>0.28774135678624885</v>
      </c>
      <c r="H29" s="25">
        <f>G29-F29</f>
        <v>0.14705601522279133</v>
      </c>
      <c r="I29" s="2"/>
      <c r="J29" s="25">
        <v>0.28110501245630165</v>
      </c>
      <c r="K29" s="25">
        <v>0.29513203175150493</v>
      </c>
      <c r="L29" s="25">
        <f>K29-J29</f>
        <v>1.402701929520328E-2</v>
      </c>
      <c r="M29"/>
      <c r="N29"/>
      <c r="O29"/>
    </row>
    <row r="30" spans="2:15" s="4" customFormat="1" ht="29" x14ac:dyDescent="0.35">
      <c r="B30" s="27" t="s">
        <v>31</v>
      </c>
      <c r="C30" s="25">
        <v>0.17929545711908651</v>
      </c>
      <c r="D30" s="25">
        <v>0.16534182302534198</v>
      </c>
      <c r="E30" s="25">
        <v>0.11830623389416824</v>
      </c>
      <c r="F30" s="25">
        <v>0.13793420619195412</v>
      </c>
      <c r="G30" s="25">
        <v>0.23374146912950544</v>
      </c>
      <c r="H30" s="25">
        <f>G30-F30</f>
        <v>9.5807262937551319E-2</v>
      </c>
      <c r="I30" s="2"/>
      <c r="J30" s="25">
        <v>0.23635169968752784</v>
      </c>
      <c r="K30" s="25">
        <v>0.24821431018529802</v>
      </c>
      <c r="L30" s="25">
        <f t="shared" si="8"/>
        <v>1.1862610497770182E-2</v>
      </c>
      <c r="M30"/>
      <c r="N30"/>
      <c r="O30"/>
    </row>
    <row r="31" spans="2:15" x14ac:dyDescent="0.35">
      <c r="B31" s="23" t="s">
        <v>32</v>
      </c>
      <c r="C31" s="28">
        <f>-C12</f>
        <v>-44</v>
      </c>
      <c r="D31" s="28">
        <f>-D12</f>
        <v>-4</v>
      </c>
      <c r="E31" s="28">
        <f>-E12</f>
        <v>-28</v>
      </c>
      <c r="F31" s="28">
        <f>-F12</f>
        <v>-262</v>
      </c>
      <c r="G31" s="28">
        <f>-G12</f>
        <v>-274</v>
      </c>
      <c r="H31" s="12">
        <f t="shared" si="0"/>
        <v>-12</v>
      </c>
      <c r="J31" s="28">
        <f>-J12</f>
        <v>-162</v>
      </c>
      <c r="K31" s="28">
        <f>-K12</f>
        <v>-678</v>
      </c>
      <c r="L31" s="12">
        <f t="shared" si="8"/>
        <v>-516</v>
      </c>
    </row>
    <row r="32" spans="2:15" x14ac:dyDescent="0.35">
      <c r="B32" s="23" t="s">
        <v>33</v>
      </c>
      <c r="C32" s="12">
        <v>-243</v>
      </c>
      <c r="D32" s="12">
        <v>-114</v>
      </c>
      <c r="E32" s="12">
        <v>-162</v>
      </c>
      <c r="F32" s="12">
        <v>-306</v>
      </c>
      <c r="G32" s="12">
        <v>-1681</v>
      </c>
      <c r="H32" s="12">
        <f t="shared" si="0"/>
        <v>-1375</v>
      </c>
      <c r="J32" s="12">
        <v>-1074</v>
      </c>
      <c r="K32" s="12">
        <v>-774</v>
      </c>
      <c r="L32" s="12">
        <f t="shared" si="8"/>
        <v>300</v>
      </c>
    </row>
    <row r="33" spans="2:15" x14ac:dyDescent="0.35">
      <c r="B33" s="23" t="s">
        <v>34</v>
      </c>
      <c r="C33" s="17" t="s">
        <v>15</v>
      </c>
      <c r="D33" s="17">
        <v>-36</v>
      </c>
      <c r="E33" s="17">
        <v>-31</v>
      </c>
      <c r="F33" s="12">
        <v>-45</v>
      </c>
      <c r="G33" s="12">
        <v>-74</v>
      </c>
      <c r="H33" s="12">
        <f t="shared" si="0"/>
        <v>-29</v>
      </c>
      <c r="J33" s="12">
        <v>-30</v>
      </c>
      <c r="K33" s="12">
        <v>-58</v>
      </c>
      <c r="L33" s="12">
        <f t="shared" si="8"/>
        <v>-28</v>
      </c>
    </row>
    <row r="34" spans="2:15" x14ac:dyDescent="0.35">
      <c r="B34" s="23" t="s">
        <v>35</v>
      </c>
      <c r="C34" s="12">
        <v>105</v>
      </c>
      <c r="D34" s="12">
        <v>133</v>
      </c>
      <c r="E34" s="12">
        <v>-73</v>
      </c>
      <c r="F34" s="12">
        <v>31</v>
      </c>
      <c r="G34" s="12">
        <v>891</v>
      </c>
      <c r="H34" s="12">
        <f t="shared" si="0"/>
        <v>860</v>
      </c>
      <c r="J34" s="12">
        <v>360</v>
      </c>
      <c r="K34" s="12">
        <v>-57</v>
      </c>
      <c r="L34" s="12">
        <f t="shared" si="8"/>
        <v>-417</v>
      </c>
    </row>
    <row r="35" spans="2:15" x14ac:dyDescent="0.35">
      <c r="B35" s="11" t="s">
        <v>36</v>
      </c>
      <c r="C35" s="12">
        <v>-574</v>
      </c>
      <c r="D35" s="12">
        <v>-358</v>
      </c>
      <c r="E35" s="12">
        <v>-325</v>
      </c>
      <c r="F35" s="12">
        <v>-861</v>
      </c>
      <c r="G35" s="12">
        <v>10051</v>
      </c>
      <c r="H35" s="12">
        <f t="shared" si="0"/>
        <v>10912</v>
      </c>
      <c r="J35" s="12">
        <v>-489</v>
      </c>
      <c r="K35" s="12">
        <v>-757</v>
      </c>
      <c r="L35" s="12">
        <f t="shared" si="8"/>
        <v>-268</v>
      </c>
    </row>
    <row r="36" spans="2:15" x14ac:dyDescent="0.35">
      <c r="B36" s="13" t="s">
        <v>37</v>
      </c>
      <c r="C36" s="14">
        <f>SUM(C24:C27,C35)</f>
        <v>748</v>
      </c>
      <c r="D36" s="14">
        <f>SUM(D24:D27,D35)</f>
        <v>1034</v>
      </c>
      <c r="E36" s="14">
        <f>SUM(E24:E27,E35)</f>
        <v>1088</v>
      </c>
      <c r="F36" s="14">
        <f>SUM(F24:F27,F35)</f>
        <v>2282</v>
      </c>
      <c r="G36" s="14">
        <f>SUM(G24:G27,G35)</f>
        <v>14498</v>
      </c>
      <c r="H36" s="14">
        <f t="shared" si="0"/>
        <v>12216</v>
      </c>
      <c r="I36" s="15"/>
      <c r="J36" s="14">
        <f>SUM(J24:J27,J35)</f>
        <v>1175</v>
      </c>
      <c r="K36" s="14">
        <f>SUM(K24:K27,K35)</f>
        <v>2354</v>
      </c>
      <c r="L36" s="14">
        <f t="shared" si="8"/>
        <v>1179</v>
      </c>
    </row>
    <row r="37" spans="2:15" x14ac:dyDescent="0.35">
      <c r="B37" s="18" t="s">
        <v>22</v>
      </c>
      <c r="C37" s="19">
        <v>-768</v>
      </c>
      <c r="D37" s="19">
        <v>179</v>
      </c>
      <c r="E37" s="12">
        <v>308</v>
      </c>
      <c r="F37" s="12" t="s">
        <v>15</v>
      </c>
      <c r="G37" s="12" t="s">
        <v>15</v>
      </c>
      <c r="H37" s="19" t="s">
        <v>15</v>
      </c>
      <c r="J37" s="12" t="s">
        <v>15</v>
      </c>
      <c r="K37" s="12" t="s">
        <v>15</v>
      </c>
      <c r="L37" s="19" t="s">
        <v>15</v>
      </c>
    </row>
    <row r="38" spans="2:15" x14ac:dyDescent="0.35">
      <c r="B38" s="18" t="s">
        <v>23</v>
      </c>
      <c r="C38" s="19">
        <v>107</v>
      </c>
      <c r="D38" s="17" t="s">
        <v>15</v>
      </c>
      <c r="E38" s="12" t="s">
        <v>15</v>
      </c>
      <c r="F38" s="12" t="s">
        <v>15</v>
      </c>
      <c r="G38" s="12" t="s">
        <v>15</v>
      </c>
      <c r="H38" s="12" t="s">
        <v>15</v>
      </c>
      <c r="J38" s="12" t="s">
        <v>15</v>
      </c>
      <c r="K38" s="12" t="s">
        <v>15</v>
      </c>
      <c r="L38" s="12" t="s">
        <v>15</v>
      </c>
    </row>
    <row r="39" spans="2:15" x14ac:dyDescent="0.35">
      <c r="B39" s="18" t="s">
        <v>38</v>
      </c>
      <c r="C39" s="19">
        <v>753</v>
      </c>
      <c r="D39" s="17" t="s">
        <v>15</v>
      </c>
      <c r="E39" s="12" t="s">
        <v>15</v>
      </c>
      <c r="F39" s="12" t="s">
        <v>15</v>
      </c>
      <c r="G39" s="12" t="s">
        <v>15</v>
      </c>
      <c r="H39" s="12" t="s">
        <v>15</v>
      </c>
      <c r="J39" s="12" t="s">
        <v>15</v>
      </c>
      <c r="K39" s="12" t="s">
        <v>15</v>
      </c>
      <c r="L39" s="12" t="s">
        <v>15</v>
      </c>
    </row>
    <row r="40" spans="2:15" x14ac:dyDescent="0.35">
      <c r="B40" s="18" t="s">
        <v>24</v>
      </c>
      <c r="C40" s="19">
        <v>-110</v>
      </c>
      <c r="D40" s="19">
        <v>-38</v>
      </c>
      <c r="E40" s="12">
        <v>366</v>
      </c>
      <c r="F40" s="12">
        <v>-10</v>
      </c>
      <c r="G40" s="12">
        <v>41</v>
      </c>
      <c r="H40" s="19">
        <f>-F40</f>
        <v>10</v>
      </c>
      <c r="J40" s="12" t="s">
        <v>15</v>
      </c>
      <c r="K40" s="12">
        <v>221</v>
      </c>
      <c r="L40" s="12">
        <f>K40</f>
        <v>221</v>
      </c>
    </row>
    <row r="41" spans="2:15" x14ac:dyDescent="0.35">
      <c r="B41" s="18" t="s">
        <v>25</v>
      </c>
      <c r="C41" s="17" t="s">
        <v>15</v>
      </c>
      <c r="D41" s="17" t="s">
        <v>15</v>
      </c>
      <c r="E41" s="12">
        <v>50</v>
      </c>
      <c r="F41" s="12">
        <v>-75</v>
      </c>
      <c r="G41" s="12">
        <v>846</v>
      </c>
      <c r="H41" s="19">
        <f t="shared" si="0"/>
        <v>921</v>
      </c>
      <c r="J41" s="12">
        <v>-41</v>
      </c>
      <c r="K41" s="12">
        <v>202</v>
      </c>
      <c r="L41" s="19">
        <f t="shared" ref="L41" si="9">K41-J41</f>
        <v>243</v>
      </c>
    </row>
    <row r="42" spans="2:15" x14ac:dyDescent="0.35">
      <c r="B42" s="18" t="s">
        <v>39</v>
      </c>
      <c r="C42" s="12" t="s">
        <v>15</v>
      </c>
      <c r="D42" s="12" t="s">
        <v>15</v>
      </c>
      <c r="E42" s="12" t="s">
        <v>15</v>
      </c>
      <c r="F42" s="12">
        <v>218</v>
      </c>
      <c r="G42" s="12">
        <v>263</v>
      </c>
      <c r="H42" s="17">
        <f t="shared" si="0"/>
        <v>45</v>
      </c>
      <c r="J42" s="12">
        <v>142.32299999999998</v>
      </c>
      <c r="K42" s="12" t="s">
        <v>15</v>
      </c>
      <c r="L42" s="17">
        <f>-J42</f>
        <v>-142.32299999999998</v>
      </c>
    </row>
    <row r="43" spans="2:15" x14ac:dyDescent="0.35">
      <c r="B43" s="18" t="s">
        <v>40</v>
      </c>
      <c r="C43" s="12" t="s">
        <v>15</v>
      </c>
      <c r="D43" s="12" t="s">
        <v>15</v>
      </c>
      <c r="E43" s="12" t="s">
        <v>15</v>
      </c>
      <c r="F43" s="12" t="s">
        <v>15</v>
      </c>
      <c r="G43" s="12">
        <v>-11187</v>
      </c>
      <c r="H43" s="17">
        <f>G43</f>
        <v>-11187</v>
      </c>
      <c r="J43" s="12" t="s">
        <v>15</v>
      </c>
      <c r="K43" s="12" t="s">
        <v>15</v>
      </c>
      <c r="L43" s="17" t="str">
        <f>K43</f>
        <v>-</v>
      </c>
    </row>
    <row r="44" spans="2:15" x14ac:dyDescent="0.35">
      <c r="B44" s="18" t="s">
        <v>41</v>
      </c>
      <c r="C44" s="17" t="s">
        <v>15</v>
      </c>
      <c r="D44" s="17" t="s">
        <v>15</v>
      </c>
      <c r="E44" s="12">
        <v>66</v>
      </c>
      <c r="F44" s="12" t="s">
        <v>15</v>
      </c>
      <c r="G44" s="12" t="s">
        <v>15</v>
      </c>
      <c r="H44" s="17" t="s">
        <v>15</v>
      </c>
      <c r="J44" s="12" t="s">
        <v>15</v>
      </c>
      <c r="K44" s="12" t="s">
        <v>15</v>
      </c>
      <c r="L44" s="17" t="s">
        <v>15</v>
      </c>
    </row>
    <row r="45" spans="2:15" x14ac:dyDescent="0.35">
      <c r="B45" s="13" t="s">
        <v>42</v>
      </c>
      <c r="C45" s="14">
        <f t="shared" ref="C45:F45" si="10">SUM(C36:C44)</f>
        <v>730</v>
      </c>
      <c r="D45" s="14">
        <f t="shared" si="10"/>
        <v>1175</v>
      </c>
      <c r="E45" s="14">
        <f t="shared" si="10"/>
        <v>1878</v>
      </c>
      <c r="F45" s="14">
        <f t="shared" si="10"/>
        <v>2415</v>
      </c>
      <c r="G45" s="14">
        <f t="shared" ref="G45" si="11">SUM(G36:G44)</f>
        <v>4461</v>
      </c>
      <c r="H45" s="14">
        <f t="shared" si="0"/>
        <v>2046</v>
      </c>
      <c r="I45" s="15"/>
      <c r="J45" s="14">
        <f t="shared" ref="J45" si="12">SUM(J36:J44)</f>
        <v>1276.3229999999999</v>
      </c>
      <c r="K45" s="14">
        <f>SUM(K36:K43)</f>
        <v>2777</v>
      </c>
      <c r="L45" s="14">
        <f t="shared" si="8"/>
        <v>1500.6770000000001</v>
      </c>
    </row>
    <row r="46" spans="2:15" x14ac:dyDescent="0.35">
      <c r="B46" s="11" t="s">
        <v>43</v>
      </c>
      <c r="C46" s="30">
        <f>C45*1000000/118106896712*100</f>
        <v>0.61808414268989076</v>
      </c>
      <c r="D46" s="30">
        <f>D45*1000000/118106896712*100</f>
        <v>0.99486146254879682</v>
      </c>
      <c r="E46" s="30">
        <f>E45*1000000/118106896712*100</f>
        <v>1.5900849588652257</v>
      </c>
      <c r="F46" s="30">
        <f>F45*1000000/118106896712*100</f>
        <v>2.0447578145151866</v>
      </c>
      <c r="G46" s="30">
        <f>G45*1000000/118106896712*100</f>
        <v>3.7770867952597298</v>
      </c>
      <c r="H46" s="29">
        <f t="shared" si="0"/>
        <v>1.7323289807445432</v>
      </c>
      <c r="J46" s="30">
        <f>J45*1000000/118106896712*100</f>
        <v>1.080650694863547</v>
      </c>
      <c r="K46" s="30">
        <f>K45*1000000/118106896712*100</f>
        <v>2.3512598140408585</v>
      </c>
      <c r="L46" s="29">
        <f t="shared" si="8"/>
        <v>1.2706091191773115</v>
      </c>
    </row>
    <row r="47" spans="2:15" s="4" customFormat="1" x14ac:dyDescent="0.35">
      <c r="B47" s="11" t="s">
        <v>44</v>
      </c>
      <c r="C47" s="31">
        <v>0.64740941731074941</v>
      </c>
      <c r="D47" s="31">
        <v>0.60309906382978717</v>
      </c>
      <c r="E47" s="32">
        <f>E48/E45</f>
        <v>0.60383386581469645</v>
      </c>
      <c r="F47" s="32">
        <v>0.60642878643014497</v>
      </c>
      <c r="G47" s="32">
        <v>0.60893490795247684</v>
      </c>
      <c r="H47" s="32">
        <f t="shared" si="0"/>
        <v>2.5061215223318722E-3</v>
      </c>
      <c r="I47" s="2"/>
      <c r="J47" s="17" t="s">
        <v>15</v>
      </c>
      <c r="K47" s="17" t="s">
        <v>15</v>
      </c>
      <c r="L47" s="17" t="s">
        <v>15</v>
      </c>
      <c r="M47"/>
      <c r="N47"/>
      <c r="O47"/>
    </row>
    <row r="48" spans="2:15" s="4" customFormat="1" x14ac:dyDescent="0.35">
      <c r="B48" s="11" t="s">
        <v>45</v>
      </c>
      <c r="C48" s="12">
        <v>471.60887463684708</v>
      </c>
      <c r="D48" s="12">
        <v>708.64139999999998</v>
      </c>
      <c r="E48" s="12">
        <v>1134</v>
      </c>
      <c r="F48" s="12">
        <v>1465</v>
      </c>
      <c r="G48" s="12">
        <v>2716</v>
      </c>
      <c r="H48" s="12">
        <f t="shared" si="0"/>
        <v>1251</v>
      </c>
      <c r="I48" s="2"/>
      <c r="J48" s="17" t="s">
        <v>15</v>
      </c>
      <c r="K48" s="17" t="s">
        <v>15</v>
      </c>
      <c r="L48" s="17" t="s">
        <v>15</v>
      </c>
      <c r="M48"/>
      <c r="N48"/>
      <c r="O48"/>
    </row>
    <row r="49" spans="2:15" s="4" customFormat="1" x14ac:dyDescent="0.35">
      <c r="B49" s="11" t="s">
        <v>46</v>
      </c>
      <c r="C49" s="30">
        <f>C48*1000000/118106896712*100</f>
        <v>0.39930680406145175</v>
      </c>
      <c r="D49" s="30">
        <f>D48*1000000/118106896712*100</f>
        <v>0.60000001670351233</v>
      </c>
      <c r="E49" s="30">
        <v>0.96</v>
      </c>
      <c r="F49" s="30">
        <v>1.24</v>
      </c>
      <c r="G49" s="30">
        <v>2.2996116870489636</v>
      </c>
      <c r="H49" s="30">
        <f t="shared" si="0"/>
        <v>1.0596116870489636</v>
      </c>
      <c r="I49" s="2"/>
      <c r="J49" s="17" t="s">
        <v>15</v>
      </c>
      <c r="K49" s="17" t="s">
        <v>15</v>
      </c>
      <c r="L49" s="17" t="s">
        <v>15</v>
      </c>
      <c r="M49"/>
      <c r="N49"/>
      <c r="O49"/>
    </row>
    <row r="50" spans="2:15" s="4" customFormat="1" x14ac:dyDescent="0.35">
      <c r="B50" s="11"/>
      <c r="C50" s="30"/>
      <c r="D50" s="30"/>
      <c r="E50" s="30"/>
      <c r="F50" s="30"/>
      <c r="G50" s="30"/>
      <c r="H50" s="30"/>
      <c r="I50" s="2"/>
      <c r="J50" s="30"/>
      <c r="K50" s="30"/>
      <c r="L50" s="30"/>
      <c r="M50"/>
      <c r="N50"/>
      <c r="O50"/>
    </row>
    <row r="51" spans="2:15" s="4" customFormat="1" x14ac:dyDescent="0.35">
      <c r="B51" s="13" t="s">
        <v>47</v>
      </c>
      <c r="C51" s="14">
        <v>2122</v>
      </c>
      <c r="D51" s="14">
        <v>4168</v>
      </c>
      <c r="E51" s="14">
        <v>4315</v>
      </c>
      <c r="F51" s="14">
        <v>6315</v>
      </c>
      <c r="G51" s="14">
        <v>10646</v>
      </c>
      <c r="H51" s="14">
        <f t="shared" si="0"/>
        <v>4331</v>
      </c>
      <c r="I51" s="15"/>
      <c r="J51" s="14">
        <v>-1064</v>
      </c>
      <c r="K51" s="14">
        <v>12077</v>
      </c>
      <c r="L51" s="14">
        <f t="shared" si="8"/>
        <v>13141</v>
      </c>
      <c r="M51"/>
      <c r="N51"/>
      <c r="O51"/>
    </row>
    <row r="52" spans="2:15" s="4" customFormat="1" x14ac:dyDescent="0.35">
      <c r="B52" s="11" t="s">
        <v>48</v>
      </c>
      <c r="C52" s="12">
        <v>-1602</v>
      </c>
      <c r="D52" s="12">
        <v>-1621</v>
      </c>
      <c r="E52" s="12">
        <v>-2155</v>
      </c>
      <c r="F52" s="12">
        <v>-3504</v>
      </c>
      <c r="G52" s="12">
        <v>-5833</v>
      </c>
      <c r="H52" s="33">
        <f t="shared" si="0"/>
        <v>-2329</v>
      </c>
      <c r="I52" s="2"/>
      <c r="J52" s="12">
        <v>-2164</v>
      </c>
      <c r="K52" s="12">
        <v>-6475</v>
      </c>
      <c r="L52" s="33">
        <f t="shared" si="8"/>
        <v>-4311</v>
      </c>
      <c r="M52"/>
      <c r="N52"/>
      <c r="O52"/>
    </row>
    <row r="53" spans="2:15" s="4" customFormat="1" x14ac:dyDescent="0.35">
      <c r="B53" s="13" t="s">
        <v>49</v>
      </c>
      <c r="C53" s="14">
        <f t="shared" ref="C53:D53" si="13">SUM(C51:C52)</f>
        <v>520</v>
      </c>
      <c r="D53" s="14">
        <f t="shared" si="13"/>
        <v>2547</v>
      </c>
      <c r="E53" s="14">
        <f>SUM(E51:E52)</f>
        <v>2160</v>
      </c>
      <c r="F53" s="14">
        <f>SUM(F51:F52)</f>
        <v>2811</v>
      </c>
      <c r="G53" s="14">
        <f>SUM(G51:G52)</f>
        <v>4813</v>
      </c>
      <c r="H53" s="14">
        <f t="shared" si="0"/>
        <v>2002</v>
      </c>
      <c r="I53" s="15"/>
      <c r="J53" s="14">
        <f>SUM(J51:J52)</f>
        <v>-3228</v>
      </c>
      <c r="K53" s="14">
        <f>SUM(K51:K52)</f>
        <v>5602</v>
      </c>
      <c r="L53" s="14">
        <f t="shared" si="8"/>
        <v>8830</v>
      </c>
      <c r="M53"/>
      <c r="N53"/>
      <c r="O53"/>
    </row>
    <row r="54" spans="2:15" s="4" customFormat="1" x14ac:dyDescent="0.35">
      <c r="B54" s="11" t="s">
        <v>50</v>
      </c>
      <c r="C54" s="12">
        <v>-1047</v>
      </c>
      <c r="D54" s="12">
        <v>-1586</v>
      </c>
      <c r="E54" s="12">
        <v>-1211</v>
      </c>
      <c r="F54" s="12">
        <v>-1445</v>
      </c>
      <c r="G54" s="12">
        <v>-2580</v>
      </c>
      <c r="H54" s="33">
        <f t="shared" si="0"/>
        <v>-1135</v>
      </c>
      <c r="I54" s="2"/>
      <c r="J54" s="12">
        <v>-923</v>
      </c>
      <c r="K54" s="12">
        <v>-1634</v>
      </c>
      <c r="L54" s="33">
        <f t="shared" si="8"/>
        <v>-711</v>
      </c>
      <c r="M54"/>
      <c r="N54"/>
      <c r="O54"/>
    </row>
    <row r="55" spans="2:15" s="4" customFormat="1" x14ac:dyDescent="0.35">
      <c r="B55" s="11" t="s">
        <v>51</v>
      </c>
      <c r="C55" s="12">
        <v>-35</v>
      </c>
      <c r="D55" s="12">
        <v>-456</v>
      </c>
      <c r="E55" s="12">
        <v>-445</v>
      </c>
      <c r="F55" s="12">
        <v>-1258</v>
      </c>
      <c r="G55" s="12">
        <v>-676</v>
      </c>
      <c r="H55" s="33">
        <f t="shared" si="0"/>
        <v>582</v>
      </c>
      <c r="I55" s="2"/>
      <c r="J55" s="12">
        <v>-385</v>
      </c>
      <c r="K55" s="12">
        <v>-1801</v>
      </c>
      <c r="L55" s="33">
        <f t="shared" si="8"/>
        <v>-1416</v>
      </c>
      <c r="M55"/>
      <c r="N55"/>
      <c r="O55"/>
    </row>
    <row r="56" spans="2:15" s="4" customFormat="1" x14ac:dyDescent="0.35">
      <c r="B56" s="13" t="s">
        <v>52</v>
      </c>
      <c r="C56" s="14">
        <f t="shared" ref="C56:D56" si="14">SUM(C53:C55)</f>
        <v>-562</v>
      </c>
      <c r="D56" s="14">
        <f t="shared" si="14"/>
        <v>505</v>
      </c>
      <c r="E56" s="14">
        <f>SUM(E53:E55)</f>
        <v>504</v>
      </c>
      <c r="F56" s="14">
        <f>SUM(F53:F55)</f>
        <v>108</v>
      </c>
      <c r="G56" s="14">
        <f>SUM(G53:G55)</f>
        <v>1557</v>
      </c>
      <c r="H56" s="14">
        <f t="shared" si="0"/>
        <v>1449</v>
      </c>
      <c r="I56" s="15"/>
      <c r="J56" s="14">
        <f>SUM(J53:J55)</f>
        <v>-4536</v>
      </c>
      <c r="K56" s="14">
        <f>SUM(K53:K55)</f>
        <v>2167</v>
      </c>
      <c r="L56" s="14">
        <f t="shared" si="8"/>
        <v>6703</v>
      </c>
      <c r="M56"/>
      <c r="N56"/>
      <c r="O56"/>
    </row>
    <row r="57" spans="2:15" s="4" customFormat="1" x14ac:dyDescent="0.35">
      <c r="B57" s="18"/>
      <c r="C57" s="35"/>
      <c r="D57" s="35"/>
      <c r="E57" s="35"/>
      <c r="F57" s="35"/>
      <c r="G57" s="35"/>
      <c r="H57" s="35"/>
      <c r="I57" s="2"/>
      <c r="J57" s="35"/>
      <c r="K57" s="12"/>
      <c r="L57" s="35"/>
      <c r="M57"/>
      <c r="N57"/>
      <c r="O57"/>
    </row>
    <row r="58" spans="2:15" s="4" customFormat="1" x14ac:dyDescent="0.35">
      <c r="B58" s="18" t="s">
        <v>53</v>
      </c>
      <c r="C58" s="16">
        <v>7303</v>
      </c>
      <c r="D58" s="16">
        <v>8702</v>
      </c>
      <c r="E58" s="16">
        <f>D62</f>
        <v>8846.7929999999997</v>
      </c>
      <c r="F58" s="12">
        <f>E62</f>
        <v>9399</v>
      </c>
      <c r="G58" s="12">
        <f>F62</f>
        <v>9028</v>
      </c>
      <c r="H58" s="16">
        <f t="shared" si="0"/>
        <v>-371</v>
      </c>
      <c r="I58" s="2"/>
      <c r="J58" s="12">
        <f>F62</f>
        <v>9028</v>
      </c>
      <c r="K58" s="12">
        <f>G62</f>
        <v>10735</v>
      </c>
      <c r="L58" s="16">
        <f t="shared" si="8"/>
        <v>1707</v>
      </c>
      <c r="M58"/>
      <c r="N58"/>
      <c r="O58"/>
    </row>
    <row r="59" spans="2:15" s="4" customFormat="1" x14ac:dyDescent="0.35">
      <c r="B59" s="36" t="s">
        <v>52</v>
      </c>
      <c r="C59" s="16">
        <v>562</v>
      </c>
      <c r="D59" s="16">
        <v>-505</v>
      </c>
      <c r="E59" s="16">
        <f>-E56</f>
        <v>-504</v>
      </c>
      <c r="F59" s="16">
        <f>-F56</f>
        <v>-108</v>
      </c>
      <c r="G59" s="12">
        <f>-G56</f>
        <v>-1557</v>
      </c>
      <c r="H59" s="16">
        <f t="shared" si="0"/>
        <v>-1449</v>
      </c>
      <c r="I59" s="2"/>
      <c r="J59" s="16">
        <v>4536</v>
      </c>
      <c r="K59" s="12">
        <v>-2167</v>
      </c>
      <c r="L59" s="16">
        <f t="shared" si="8"/>
        <v>-6703</v>
      </c>
      <c r="M59"/>
      <c r="N59"/>
      <c r="O59"/>
    </row>
    <row r="60" spans="2:15" s="4" customFormat="1" x14ac:dyDescent="0.35">
      <c r="B60" s="36" t="s">
        <v>54</v>
      </c>
      <c r="C60" s="16">
        <v>354</v>
      </c>
      <c r="D60" s="16">
        <v>471.60887463684708</v>
      </c>
      <c r="E60" s="16">
        <v>708.64</v>
      </c>
      <c r="F60" s="12">
        <f>E48</f>
        <v>1134</v>
      </c>
      <c r="G60" s="12">
        <f>F48</f>
        <v>1465</v>
      </c>
      <c r="H60" s="16">
        <f t="shared" si="0"/>
        <v>331</v>
      </c>
      <c r="I60" s="2"/>
      <c r="J60" s="16">
        <v>1465.4899323999996</v>
      </c>
      <c r="K60" s="17">
        <v>2716.3029000000001</v>
      </c>
      <c r="L60" s="16">
        <f t="shared" si="8"/>
        <v>1250.8129676000005</v>
      </c>
      <c r="M60"/>
      <c r="N60"/>
      <c r="O60"/>
    </row>
    <row r="61" spans="2:15" s="4" customFormat="1" x14ac:dyDescent="0.35">
      <c r="B61" s="36" t="s">
        <v>55</v>
      </c>
      <c r="C61" s="16">
        <v>483</v>
      </c>
      <c r="D61" s="16">
        <v>178.18412536315191</v>
      </c>
      <c r="E61" s="16">
        <v>347.56700000000092</v>
      </c>
      <c r="F61" s="12">
        <v>-1397</v>
      </c>
      <c r="G61" s="12">
        <v>1799</v>
      </c>
      <c r="H61" s="16">
        <f t="shared" si="0"/>
        <v>3196</v>
      </c>
      <c r="I61" s="2"/>
      <c r="J61" s="12">
        <v>954.51006760000018</v>
      </c>
      <c r="K61" s="12">
        <v>-822</v>
      </c>
      <c r="L61" s="16">
        <f t="shared" si="8"/>
        <v>-1776.5100676000002</v>
      </c>
      <c r="M61"/>
      <c r="N61"/>
      <c r="O61"/>
    </row>
    <row r="62" spans="2:15" s="4" customFormat="1" x14ac:dyDescent="0.35">
      <c r="B62" s="18" t="s">
        <v>56</v>
      </c>
      <c r="C62" s="16">
        <v>8702</v>
      </c>
      <c r="D62" s="16">
        <v>8846.7929999999997</v>
      </c>
      <c r="E62" s="16">
        <v>9399</v>
      </c>
      <c r="F62" s="12">
        <v>9028</v>
      </c>
      <c r="G62" s="12">
        <f>SUM(G58:G61)</f>
        <v>10735</v>
      </c>
      <c r="H62" s="16">
        <f t="shared" si="0"/>
        <v>1707</v>
      </c>
      <c r="I62" s="2"/>
      <c r="J62" s="12">
        <f>SUM(J58:J61)</f>
        <v>15984</v>
      </c>
      <c r="K62" s="12">
        <f>SUM(K58:K61)</f>
        <v>10462.302900000001</v>
      </c>
      <c r="L62" s="16">
        <f t="shared" si="8"/>
        <v>-5521.6970999999994</v>
      </c>
      <c r="M62"/>
      <c r="N62"/>
      <c r="O62"/>
    </row>
    <row r="63" spans="2:15" s="4" customFormat="1" x14ac:dyDescent="0.35">
      <c r="B63" s="13" t="s">
        <v>57</v>
      </c>
      <c r="C63" s="37">
        <f>ROUND(C62/C22,1)</f>
        <v>2.2999999999999998</v>
      </c>
      <c r="D63" s="37">
        <f>ROUND(D62/D22,1)</f>
        <v>1.9</v>
      </c>
      <c r="E63" s="37">
        <f>ROUND(E62/E22,1)</f>
        <v>1.7</v>
      </c>
      <c r="F63" s="37">
        <f>ROUND(F62/F22,1)</f>
        <v>1.2</v>
      </c>
      <c r="G63" s="37">
        <f>ROUND(G62/G22,1)</f>
        <v>0.7</v>
      </c>
      <c r="H63" s="37">
        <f t="shared" si="0"/>
        <v>-0.5</v>
      </c>
      <c r="I63" s="15"/>
      <c r="J63" s="37" t="s">
        <v>15</v>
      </c>
      <c r="K63" s="37" t="s">
        <v>15</v>
      </c>
      <c r="L63" s="37" t="s">
        <v>15</v>
      </c>
      <c r="M63"/>
      <c r="N63"/>
      <c r="O63"/>
    </row>
    <row r="64" spans="2:15" s="4" customFormat="1" x14ac:dyDescent="0.35">
      <c r="B64" s="5"/>
      <c r="C64" s="38"/>
      <c r="D64" s="38"/>
      <c r="E64"/>
      <c r="F64"/>
      <c r="G64"/>
      <c r="H64" s="38"/>
      <c r="I64" s="2"/>
      <c r="J64"/>
      <c r="K64"/>
      <c r="L64" s="38"/>
      <c r="M64"/>
      <c r="N64"/>
      <c r="O64"/>
    </row>
    <row r="65" spans="2:15" s="4" customFormat="1" x14ac:dyDescent="0.35">
      <c r="B65" s="13" t="s">
        <v>58</v>
      </c>
      <c r="C65" s="14"/>
      <c r="D65" s="14"/>
      <c r="E65" s="14"/>
      <c r="F65" s="14">
        <v>11325.24198615</v>
      </c>
      <c r="G65" s="14">
        <v>15188</v>
      </c>
      <c r="H65" s="14">
        <f t="shared" si="0"/>
        <v>3862.7580138499998</v>
      </c>
      <c r="I65" s="15"/>
      <c r="J65" s="14">
        <v>19699</v>
      </c>
      <c r="K65" s="14">
        <v>16007</v>
      </c>
      <c r="L65" s="14">
        <f t="shared" si="8"/>
        <v>-3692</v>
      </c>
      <c r="M65"/>
      <c r="N65"/>
      <c r="O65"/>
    </row>
    <row r="66" spans="2:15" s="4" customFormat="1" x14ac:dyDescent="0.35">
      <c r="B66"/>
      <c r="C66" s="1"/>
      <c r="D66" s="1"/>
      <c r="E66"/>
      <c r="F66" s="39"/>
      <c r="G66" s="39"/>
      <c r="H66" s="1"/>
      <c r="I66" s="2"/>
      <c r="J66" s="40"/>
      <c r="K66" s="1"/>
      <c r="L66" s="1"/>
      <c r="M66"/>
      <c r="N66"/>
      <c r="O66"/>
    </row>
    <row r="67" spans="2:15" s="4" customFormat="1" x14ac:dyDescent="0.35">
      <c r="B67"/>
      <c r="C67" s="1"/>
      <c r="D67" s="1"/>
      <c r="E67"/>
      <c r="F67"/>
      <c r="G67"/>
      <c r="H67" s="1"/>
      <c r="I67" s="2"/>
      <c r="J67" s="1"/>
      <c r="K67"/>
      <c r="L67" s="1"/>
      <c r="M67"/>
      <c r="N67"/>
      <c r="O67"/>
    </row>
    <row r="68" spans="2:15" s="4" customFormat="1" x14ac:dyDescent="0.35">
      <c r="B68"/>
      <c r="C68" s="1"/>
      <c r="D68" s="1"/>
      <c r="E68" s="1"/>
      <c r="F68" s="1"/>
      <c r="G68" s="1"/>
      <c r="H68" s="1"/>
      <c r="I68" s="2"/>
      <c r="J68" s="1"/>
      <c r="K68" s="1"/>
      <c r="L68" s="1"/>
      <c r="M68"/>
      <c r="N68"/>
      <c r="O68"/>
    </row>
    <row r="69" spans="2:15" s="4" customFormat="1" x14ac:dyDescent="0.35">
      <c r="B69"/>
      <c r="C69"/>
      <c r="D69"/>
      <c r="E69"/>
      <c r="F69"/>
      <c r="G69"/>
      <c r="H69"/>
      <c r="I69" s="2"/>
      <c r="J69" s="41"/>
      <c r="K69" s="41"/>
      <c r="L69"/>
      <c r="M69"/>
      <c r="N69"/>
      <c r="O69"/>
    </row>
    <row r="70" spans="2:15" s="4" customFormat="1" x14ac:dyDescent="0.35">
      <c r="B70"/>
      <c r="C70" s="1"/>
      <c r="D70" s="1"/>
      <c r="E70" s="1"/>
      <c r="F70" s="1"/>
      <c r="G70" s="1"/>
      <c r="H70" s="1"/>
      <c r="I70" s="2"/>
      <c r="J70" s="1"/>
      <c r="K70" s="1"/>
      <c r="L70" s="1"/>
      <c r="M70"/>
      <c r="N70"/>
      <c r="O70"/>
    </row>
    <row r="71" spans="2:15" s="4" customFormat="1" x14ac:dyDescent="0.35">
      <c r="B71"/>
      <c r="C71" s="1"/>
      <c r="D71" s="1"/>
      <c r="E71" s="1"/>
      <c r="F71" s="1"/>
      <c r="G71" s="1"/>
      <c r="H71"/>
      <c r="I71" s="2"/>
      <c r="J71" s="1"/>
      <c r="K71" s="1"/>
      <c r="L71"/>
      <c r="M71"/>
      <c r="N71"/>
      <c r="O71"/>
    </row>
    <row r="72" spans="2:15" s="4" customFormat="1" x14ac:dyDescent="0.35">
      <c r="B72"/>
      <c r="C72" s="42"/>
      <c r="D72" s="42"/>
      <c r="E72" s="42"/>
      <c r="F72" s="42"/>
      <c r="G72" s="42"/>
      <c r="H72"/>
      <c r="I72" s="2"/>
      <c r="J72" s="42"/>
      <c r="K72" s="42"/>
      <c r="L72"/>
      <c r="M72"/>
      <c r="N72"/>
      <c r="O72"/>
    </row>
  </sheetData>
  <pageMargins left="0.7" right="0.7" top="0.75" bottom="0.75" header="0.3" footer="0.3"/>
  <pageSetup paperSize="9" scale="48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7"/>
  <sheetViews>
    <sheetView showGridLines="0" zoomScale="80" zoomScaleNormal="8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 activeCell="P10" sqref="P10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8" width="10.6328125" customWidth="1"/>
    <col min="9" max="9" width="4.90625" customWidth="1"/>
    <col min="10" max="12" width="10.6328125" customWidth="1"/>
  </cols>
  <sheetData>
    <row r="1" spans="2:15" x14ac:dyDescent="0.35">
      <c r="C1" s="3"/>
      <c r="D1" s="3"/>
      <c r="H1" s="3"/>
      <c r="L1" s="3"/>
    </row>
    <row r="2" spans="2:15" x14ac:dyDescent="0.35">
      <c r="B2" s="43" t="s">
        <v>59</v>
      </c>
      <c r="C2" s="44" t="s">
        <v>1</v>
      </c>
      <c r="D2" s="44" t="s">
        <v>1</v>
      </c>
      <c r="E2" s="44" t="s">
        <v>1</v>
      </c>
      <c r="F2" s="44" t="s">
        <v>1</v>
      </c>
      <c r="G2" s="44" t="s">
        <v>1</v>
      </c>
      <c r="H2" s="6" t="str">
        <f>Consolidated!H2</f>
        <v>Delta</v>
      </c>
      <c r="I2" s="45"/>
      <c r="J2" s="6" t="s">
        <v>3</v>
      </c>
      <c r="K2" s="6" t="s">
        <v>3</v>
      </c>
      <c r="L2" s="6" t="s">
        <v>2</v>
      </c>
    </row>
    <row r="3" spans="2:15" ht="15" thickBot="1" x14ac:dyDescent="0.4">
      <c r="B3" s="46" t="s">
        <v>4</v>
      </c>
      <c r="C3" s="47">
        <v>2018</v>
      </c>
      <c r="D3" s="47">
        <v>2019</v>
      </c>
      <c r="E3" s="9">
        <v>2020</v>
      </c>
      <c r="F3" s="9">
        <v>2021</v>
      </c>
      <c r="G3" s="9">
        <v>2022</v>
      </c>
      <c r="H3" s="10" t="str">
        <f>Consolidated!H3</f>
        <v>21-22</v>
      </c>
      <c r="I3" s="45"/>
      <c r="J3" s="9">
        <v>2022</v>
      </c>
      <c r="K3" s="9">
        <v>2023</v>
      </c>
      <c r="L3" s="10" t="s">
        <v>6</v>
      </c>
    </row>
    <row r="4" spans="2:15" x14ac:dyDescent="0.35">
      <c r="B4" s="18" t="s">
        <v>60</v>
      </c>
      <c r="C4" s="48">
        <v>621</v>
      </c>
      <c r="D4" s="48">
        <v>657</v>
      </c>
      <c r="E4" s="48">
        <v>738</v>
      </c>
      <c r="F4" s="48">
        <v>974</v>
      </c>
      <c r="G4" s="48">
        <v>2873</v>
      </c>
      <c r="H4" s="48">
        <f>G4-F4</f>
        <v>1899</v>
      </c>
      <c r="I4" s="49"/>
      <c r="J4" s="48">
        <v>1395</v>
      </c>
      <c r="K4" s="48">
        <v>1867</v>
      </c>
      <c r="L4" s="48">
        <f>K4-J4</f>
        <v>472</v>
      </c>
      <c r="N4" s="1"/>
      <c r="O4" s="1"/>
    </row>
    <row r="5" spans="2:15" x14ac:dyDescent="0.35">
      <c r="B5" s="18" t="s">
        <v>61</v>
      </c>
      <c r="C5" s="48">
        <v>46</v>
      </c>
      <c r="D5" s="48">
        <v>97</v>
      </c>
      <c r="E5" s="48">
        <v>482</v>
      </c>
      <c r="F5" s="48">
        <v>189</v>
      </c>
      <c r="G5" s="48">
        <v>1002</v>
      </c>
      <c r="H5" s="48">
        <f t="shared" ref="H5:H18" si="0">G5-F5</f>
        <v>813</v>
      </c>
      <c r="I5" s="49"/>
      <c r="J5" s="48">
        <v>384</v>
      </c>
      <c r="K5" s="48">
        <v>548</v>
      </c>
      <c r="L5" s="48">
        <f t="shared" ref="L5" si="1">K5-J5</f>
        <v>164</v>
      </c>
    </row>
    <row r="6" spans="2:15" x14ac:dyDescent="0.35">
      <c r="B6" s="18" t="s">
        <v>62</v>
      </c>
      <c r="C6" s="48">
        <f>-323-C26</f>
        <v>-315</v>
      </c>
      <c r="D6" s="48">
        <f>-325-D26</f>
        <v>-307</v>
      </c>
      <c r="E6" s="48">
        <v>-369</v>
      </c>
      <c r="F6" s="48">
        <v>-427</v>
      </c>
      <c r="G6" s="48">
        <v>-959</v>
      </c>
      <c r="H6" s="48">
        <f t="shared" si="0"/>
        <v>-532</v>
      </c>
      <c r="I6" s="51"/>
      <c r="J6" s="48">
        <v>-350</v>
      </c>
      <c r="K6" s="48">
        <v>-775</v>
      </c>
      <c r="L6" s="48">
        <f t="shared" ref="L6:L18" si="2">K6-J6</f>
        <v>-425</v>
      </c>
    </row>
    <row r="7" spans="2:15" x14ac:dyDescent="0.35">
      <c r="B7" s="18" t="s">
        <v>63</v>
      </c>
      <c r="C7" s="48">
        <f t="shared" ref="C7:G7" si="3">SUM(C8:C10)</f>
        <v>58</v>
      </c>
      <c r="D7" s="48">
        <f t="shared" si="3"/>
        <v>120</v>
      </c>
      <c r="E7" s="48">
        <f t="shared" si="3"/>
        <v>44</v>
      </c>
      <c r="F7" s="48">
        <f t="shared" si="3"/>
        <v>154</v>
      </c>
      <c r="G7" s="48">
        <f t="shared" si="3"/>
        <v>252</v>
      </c>
      <c r="H7" s="48">
        <f t="shared" si="0"/>
        <v>98</v>
      </c>
      <c r="I7" s="49"/>
      <c r="J7" s="48">
        <f t="shared" ref="J7:K7" si="4">SUM(J8:J10)</f>
        <v>70</v>
      </c>
      <c r="K7" s="48">
        <f t="shared" si="4"/>
        <v>18</v>
      </c>
      <c r="L7" s="48">
        <f t="shared" si="2"/>
        <v>-52</v>
      </c>
    </row>
    <row r="8" spans="2:15" x14ac:dyDescent="0.35">
      <c r="B8" s="36" t="s">
        <v>64</v>
      </c>
      <c r="C8" s="48">
        <f>-84-C27</f>
        <v>-84</v>
      </c>
      <c r="D8" s="48">
        <f>-63-D27</f>
        <v>-63</v>
      </c>
      <c r="E8" s="48">
        <v>-140</v>
      </c>
      <c r="F8" s="48">
        <v>-73</v>
      </c>
      <c r="G8" s="48">
        <v>-180</v>
      </c>
      <c r="H8" s="48">
        <f t="shared" si="0"/>
        <v>-107</v>
      </c>
      <c r="I8" s="49"/>
      <c r="J8" s="48">
        <v>-65</v>
      </c>
      <c r="K8" s="48">
        <v>-303</v>
      </c>
      <c r="L8" s="48">
        <f t="shared" si="2"/>
        <v>-238</v>
      </c>
    </row>
    <row r="9" spans="2:15" x14ac:dyDescent="0.35">
      <c r="B9" s="36" t="s">
        <v>65</v>
      </c>
      <c r="C9" s="48">
        <v>84</v>
      </c>
      <c r="D9" s="48">
        <v>144</v>
      </c>
      <c r="E9" s="48">
        <v>138</v>
      </c>
      <c r="F9" s="48">
        <v>166</v>
      </c>
      <c r="G9" s="48">
        <v>362</v>
      </c>
      <c r="H9" s="48">
        <f t="shared" si="0"/>
        <v>196</v>
      </c>
      <c r="I9" s="49"/>
      <c r="J9" s="48">
        <v>110</v>
      </c>
      <c r="K9" s="48">
        <v>301</v>
      </c>
      <c r="L9" s="48">
        <f t="shared" si="2"/>
        <v>191</v>
      </c>
    </row>
    <row r="10" spans="2:15" x14ac:dyDescent="0.35">
      <c r="B10" s="36" t="s">
        <v>66</v>
      </c>
      <c r="C10" s="48">
        <v>58</v>
      </c>
      <c r="D10" s="48">
        <v>39</v>
      </c>
      <c r="E10" s="48">
        <v>46</v>
      </c>
      <c r="F10" s="48">
        <v>61</v>
      </c>
      <c r="G10" s="48">
        <v>70</v>
      </c>
      <c r="H10" s="48">
        <f t="shared" si="0"/>
        <v>9</v>
      </c>
      <c r="I10" s="49"/>
      <c r="J10" s="48">
        <v>25</v>
      </c>
      <c r="K10" s="48">
        <v>20</v>
      </c>
      <c r="L10" s="48">
        <f t="shared" si="2"/>
        <v>-5</v>
      </c>
    </row>
    <row r="11" spans="2:15" x14ac:dyDescent="0.35">
      <c r="B11" s="18" t="s">
        <v>35</v>
      </c>
      <c r="C11" s="48">
        <f>-23-C28</f>
        <v>-23</v>
      </c>
      <c r="D11" s="48">
        <f>-9-D28</f>
        <v>-9</v>
      </c>
      <c r="E11" s="48">
        <v>-19</v>
      </c>
      <c r="F11" s="48">
        <v>72</v>
      </c>
      <c r="G11" s="48">
        <v>-531</v>
      </c>
      <c r="H11" s="48">
        <f t="shared" si="0"/>
        <v>-603</v>
      </c>
      <c r="I11" s="49"/>
      <c r="J11" s="48">
        <v>-50</v>
      </c>
      <c r="K11" s="52">
        <v>192</v>
      </c>
      <c r="L11" s="48">
        <f t="shared" si="2"/>
        <v>242</v>
      </c>
    </row>
    <row r="12" spans="2:15" x14ac:dyDescent="0.35">
      <c r="B12" s="13" t="s">
        <v>26</v>
      </c>
      <c r="C12" s="53">
        <f>SUM(C4:C7,C11)</f>
        <v>387</v>
      </c>
      <c r="D12" s="53">
        <f>SUM(D4:D7,D11)</f>
        <v>558</v>
      </c>
      <c r="E12" s="53">
        <f>SUM(E4:E7,E11)</f>
        <v>876</v>
      </c>
      <c r="F12" s="53">
        <f>SUM(F4:F7,F11)</f>
        <v>962</v>
      </c>
      <c r="G12" s="53">
        <f>SUM(G4:G7,G11)</f>
        <v>2637</v>
      </c>
      <c r="H12" s="53">
        <f t="shared" si="0"/>
        <v>1675</v>
      </c>
      <c r="I12" s="54"/>
      <c r="J12" s="53">
        <f>SUM(J4:J7,J11)</f>
        <v>1449</v>
      </c>
      <c r="K12" s="53">
        <f>SUM(K4:K7,K11)</f>
        <v>1850</v>
      </c>
      <c r="L12" s="53">
        <f t="shared" si="2"/>
        <v>401</v>
      </c>
      <c r="M12" s="21"/>
    </row>
    <row r="13" spans="2:15" x14ac:dyDescent="0.35">
      <c r="B13" s="11" t="s">
        <v>67</v>
      </c>
      <c r="C13" s="56">
        <v>-454</v>
      </c>
      <c r="D13" s="56">
        <v>811</v>
      </c>
      <c r="E13" s="48">
        <v>-119</v>
      </c>
      <c r="F13" s="48">
        <v>-2029</v>
      </c>
      <c r="G13" s="48">
        <v>6711</v>
      </c>
      <c r="H13" s="56">
        <f t="shared" si="0"/>
        <v>8740</v>
      </c>
      <c r="I13" s="54"/>
      <c r="J13" s="48">
        <v>-4980</v>
      </c>
      <c r="K13" s="48">
        <v>-1299</v>
      </c>
      <c r="L13" s="56">
        <f t="shared" si="2"/>
        <v>3681</v>
      </c>
    </row>
    <row r="14" spans="2:15" x14ac:dyDescent="0.35">
      <c r="B14" s="11" t="s">
        <v>68</v>
      </c>
      <c r="C14" s="56">
        <v>246</v>
      </c>
      <c r="D14" s="56">
        <v>64</v>
      </c>
      <c r="E14" s="48">
        <v>-25</v>
      </c>
      <c r="F14" s="48">
        <v>-39</v>
      </c>
      <c r="G14" s="48">
        <v>324</v>
      </c>
      <c r="H14" s="56">
        <f t="shared" si="0"/>
        <v>363</v>
      </c>
      <c r="I14" s="54"/>
      <c r="J14" s="48">
        <v>283</v>
      </c>
      <c r="K14" s="48">
        <v>279</v>
      </c>
      <c r="L14" s="56">
        <f t="shared" si="2"/>
        <v>-4</v>
      </c>
    </row>
    <row r="15" spans="2:15" x14ac:dyDescent="0.35">
      <c r="B15" s="11" t="s">
        <v>69</v>
      </c>
      <c r="C15" s="56">
        <f>-317-C30</f>
        <v>-269</v>
      </c>
      <c r="D15" s="56">
        <f>342-D30</f>
        <v>339</v>
      </c>
      <c r="E15" s="48">
        <v>51</v>
      </c>
      <c r="F15" s="48">
        <v>912.93003121627225</v>
      </c>
      <c r="G15" s="48">
        <v>-4353</v>
      </c>
      <c r="H15" s="56">
        <f t="shared" si="0"/>
        <v>-5265.9300312162723</v>
      </c>
      <c r="I15" s="54"/>
      <c r="J15" s="48">
        <v>-2755</v>
      </c>
      <c r="K15" s="48">
        <v>2822</v>
      </c>
      <c r="L15" s="56">
        <f t="shared" si="2"/>
        <v>5577</v>
      </c>
    </row>
    <row r="16" spans="2:15" x14ac:dyDescent="0.35">
      <c r="B16" s="13" t="s">
        <v>47</v>
      </c>
      <c r="C16" s="53">
        <f t="shared" ref="C16:D16" si="5">SUM(C12:C15)</f>
        <v>-90</v>
      </c>
      <c r="D16" s="53">
        <f t="shared" si="5"/>
        <v>1772</v>
      </c>
      <c r="E16" s="53">
        <f t="shared" ref="E16:G16" si="6">SUM(E12:E15)</f>
        <v>783</v>
      </c>
      <c r="F16" s="53">
        <f t="shared" si="6"/>
        <v>-193.06996878372775</v>
      </c>
      <c r="G16" s="53">
        <f t="shared" si="6"/>
        <v>5319</v>
      </c>
      <c r="H16" s="53">
        <f t="shared" si="0"/>
        <v>5512.0699687837277</v>
      </c>
      <c r="I16" s="54"/>
      <c r="J16" s="53">
        <f t="shared" ref="J16:K16" si="7">SUM(J12:J15)</f>
        <v>-6003</v>
      </c>
      <c r="K16" s="53">
        <f t="shared" si="7"/>
        <v>3652</v>
      </c>
      <c r="L16" s="53">
        <f t="shared" si="2"/>
        <v>9655</v>
      </c>
    </row>
    <row r="17" spans="2:13" x14ac:dyDescent="0.35">
      <c r="B17" s="11" t="s">
        <v>48</v>
      </c>
      <c r="C17" s="56">
        <f>-33-5-C32</f>
        <v>-32</v>
      </c>
      <c r="D17" s="56">
        <f>-47-4-D32</f>
        <v>-47</v>
      </c>
      <c r="E17" s="48">
        <v>-38</v>
      </c>
      <c r="F17" s="48">
        <v>-37</v>
      </c>
      <c r="G17" s="48">
        <v>-133</v>
      </c>
      <c r="H17" s="48">
        <f t="shared" si="0"/>
        <v>-96</v>
      </c>
      <c r="I17" s="49"/>
      <c r="J17" s="48">
        <v>-45</v>
      </c>
      <c r="K17" s="48">
        <v>-78</v>
      </c>
      <c r="L17" s="48">
        <f t="shared" si="2"/>
        <v>-33</v>
      </c>
    </row>
    <row r="18" spans="2:13" x14ac:dyDescent="0.35">
      <c r="B18" s="13" t="s">
        <v>49</v>
      </c>
      <c r="C18" s="53">
        <f t="shared" ref="C18:D18" si="8">SUM(C16:C17)</f>
        <v>-122</v>
      </c>
      <c r="D18" s="53">
        <f t="shared" si="8"/>
        <v>1725</v>
      </c>
      <c r="E18" s="53">
        <f>SUM(E16:E17)</f>
        <v>745</v>
      </c>
      <c r="F18" s="53">
        <f>SUM(F16:F17)</f>
        <v>-230.06996878372775</v>
      </c>
      <c r="G18" s="53">
        <f>SUM(G16:G17)</f>
        <v>5186</v>
      </c>
      <c r="H18" s="53">
        <f t="shared" si="0"/>
        <v>5416.0699687837277</v>
      </c>
      <c r="I18" s="54"/>
      <c r="J18" s="53">
        <f>SUM(J16:J17)</f>
        <v>-6048</v>
      </c>
      <c r="K18" s="53">
        <f>SUM(K16:K17)</f>
        <v>3574</v>
      </c>
      <c r="L18" s="53">
        <f t="shared" si="2"/>
        <v>9622</v>
      </c>
    </row>
    <row r="20" spans="2:13" x14ac:dyDescent="0.35">
      <c r="B20" s="18"/>
      <c r="C20" s="57"/>
      <c r="D20" s="57"/>
      <c r="E20" s="57"/>
      <c r="F20" s="57"/>
      <c r="G20" s="57"/>
      <c r="H20" s="57"/>
      <c r="J20" s="57"/>
      <c r="K20" s="57"/>
      <c r="L20" s="57"/>
    </row>
    <row r="21" spans="2:13" x14ac:dyDescent="0.35">
      <c r="B21" s="43" t="s">
        <v>70</v>
      </c>
      <c r="C21" s="44" t="s">
        <v>1</v>
      </c>
      <c r="D21" s="44" t="s">
        <v>1</v>
      </c>
      <c r="E21" s="44" t="s">
        <v>1</v>
      </c>
      <c r="F21" s="44" t="s">
        <v>1</v>
      </c>
      <c r="G21" s="44" t="s">
        <v>1</v>
      </c>
      <c r="H21" s="6" t="str">
        <f>H2</f>
        <v>Delta</v>
      </c>
      <c r="I21" s="45"/>
      <c r="J21" s="6" t="s">
        <v>3</v>
      </c>
      <c r="K21" s="6" t="s">
        <v>3</v>
      </c>
      <c r="L21" s="6" t="s">
        <v>2</v>
      </c>
    </row>
    <row r="22" spans="2:13" ht="15" thickBot="1" x14ac:dyDescent="0.4">
      <c r="B22" s="46" t="s">
        <v>4</v>
      </c>
      <c r="C22" s="47">
        <v>2018</v>
      </c>
      <c r="D22" s="47">
        <v>2019</v>
      </c>
      <c r="E22" s="9">
        <v>2020</v>
      </c>
      <c r="F22" s="9">
        <v>2021</v>
      </c>
      <c r="G22" s="9">
        <v>2022</v>
      </c>
      <c r="H22" s="9" t="str">
        <f>H3</f>
        <v>21-22</v>
      </c>
      <c r="I22" s="45"/>
      <c r="J22" s="9">
        <v>2022</v>
      </c>
      <c r="K22" s="9">
        <v>2023</v>
      </c>
      <c r="L22" s="10" t="s">
        <v>6</v>
      </c>
    </row>
    <row r="23" spans="2:13" x14ac:dyDescent="0.35">
      <c r="B23" s="18" t="s">
        <v>7</v>
      </c>
      <c r="C23" s="56">
        <v>16</v>
      </c>
      <c r="D23" s="56">
        <v>22</v>
      </c>
      <c r="E23" s="48">
        <v>26</v>
      </c>
      <c r="F23" s="48">
        <v>180</v>
      </c>
      <c r="G23" s="48">
        <v>234</v>
      </c>
      <c r="H23" s="56">
        <f t="shared" ref="H23:H33" si="9">G23-F23</f>
        <v>54</v>
      </c>
      <c r="I23" s="54"/>
      <c r="J23" s="48">
        <v>76</v>
      </c>
      <c r="K23" s="48">
        <v>318</v>
      </c>
      <c r="L23" s="56">
        <f t="shared" ref="L23:L33" si="10">K23-J23</f>
        <v>242</v>
      </c>
    </row>
    <row r="24" spans="2:13" x14ac:dyDescent="0.35">
      <c r="B24" s="18" t="s">
        <v>8</v>
      </c>
      <c r="C24" s="56">
        <v>-5</v>
      </c>
      <c r="D24" s="56">
        <v>-3</v>
      </c>
      <c r="E24" s="48">
        <v>-5</v>
      </c>
      <c r="F24" s="48">
        <v>-75</v>
      </c>
      <c r="G24" s="48">
        <v>-74</v>
      </c>
      <c r="H24" s="56">
        <f t="shared" si="9"/>
        <v>1</v>
      </c>
      <c r="I24" s="54"/>
      <c r="J24" s="48">
        <v>-15</v>
      </c>
      <c r="K24" s="48">
        <v>-135</v>
      </c>
      <c r="L24" s="56">
        <f t="shared" si="10"/>
        <v>-120</v>
      </c>
    </row>
    <row r="25" spans="2:13" x14ac:dyDescent="0.35">
      <c r="B25" s="13" t="s">
        <v>71</v>
      </c>
      <c r="C25" s="53">
        <f t="shared" ref="C25:F25" si="11">SUM(C23:C24)</f>
        <v>11</v>
      </c>
      <c r="D25" s="53">
        <f t="shared" si="11"/>
        <v>19</v>
      </c>
      <c r="E25" s="53">
        <f t="shared" si="11"/>
        <v>21</v>
      </c>
      <c r="F25" s="53">
        <f t="shared" si="11"/>
        <v>105</v>
      </c>
      <c r="G25" s="53">
        <f t="shared" ref="G25" si="12">SUM(G23:G24)</f>
        <v>160</v>
      </c>
      <c r="H25" s="53">
        <f t="shared" si="9"/>
        <v>55</v>
      </c>
      <c r="I25" s="54"/>
      <c r="J25" s="53">
        <f t="shared" ref="J25:K25" si="13">SUM(J23:J24)</f>
        <v>61</v>
      </c>
      <c r="K25" s="53">
        <f t="shared" si="13"/>
        <v>183</v>
      </c>
      <c r="L25" s="53">
        <f t="shared" si="10"/>
        <v>122</v>
      </c>
      <c r="M25" s="21"/>
    </row>
    <row r="26" spans="2:13" x14ac:dyDescent="0.35">
      <c r="B26" t="s">
        <v>72</v>
      </c>
      <c r="C26" s="56">
        <v>-8</v>
      </c>
      <c r="D26" s="56">
        <v>-18</v>
      </c>
      <c r="E26" s="48">
        <v>-16</v>
      </c>
      <c r="F26" s="48">
        <v>-23</v>
      </c>
      <c r="G26" s="48">
        <v>-84</v>
      </c>
      <c r="H26" s="56">
        <f t="shared" si="9"/>
        <v>-61</v>
      </c>
      <c r="I26" s="54"/>
      <c r="J26" s="48">
        <v>-29</v>
      </c>
      <c r="K26" s="48">
        <v>-159</v>
      </c>
      <c r="L26" s="56">
        <f t="shared" si="10"/>
        <v>-130</v>
      </c>
    </row>
    <row r="27" spans="2:13" x14ac:dyDescent="0.35">
      <c r="B27" t="s">
        <v>64</v>
      </c>
      <c r="C27" s="56">
        <v>0</v>
      </c>
      <c r="D27" s="56">
        <v>0</v>
      </c>
      <c r="E27" s="48">
        <v>-2</v>
      </c>
      <c r="F27" s="48">
        <v>-2</v>
      </c>
      <c r="G27" s="48">
        <v>-3</v>
      </c>
      <c r="H27" s="56">
        <f t="shared" si="9"/>
        <v>-1</v>
      </c>
      <c r="I27" s="54"/>
      <c r="J27" s="48">
        <v>-3</v>
      </c>
      <c r="K27" s="50">
        <v>-3</v>
      </c>
      <c r="L27" s="56">
        <f>-J27</f>
        <v>3</v>
      </c>
    </row>
    <row r="28" spans="2:13" x14ac:dyDescent="0.35">
      <c r="B28" t="s">
        <v>35</v>
      </c>
      <c r="C28" s="56">
        <v>0</v>
      </c>
      <c r="D28" s="56">
        <v>0</v>
      </c>
      <c r="E28" s="48">
        <v>0</v>
      </c>
      <c r="F28" s="48">
        <v>-45</v>
      </c>
      <c r="G28" s="48">
        <v>-64</v>
      </c>
      <c r="H28" s="56">
        <f t="shared" si="9"/>
        <v>-19</v>
      </c>
      <c r="I28" s="54"/>
      <c r="J28" s="48">
        <v>6</v>
      </c>
      <c r="K28" s="48">
        <v>520</v>
      </c>
      <c r="L28" s="56">
        <f t="shared" si="10"/>
        <v>514</v>
      </c>
    </row>
    <row r="29" spans="2:13" x14ac:dyDescent="0.35">
      <c r="B29" s="13" t="s">
        <v>26</v>
      </c>
      <c r="C29" s="53">
        <f t="shared" ref="C29:F29" si="14">SUM(C25:C28)</f>
        <v>3</v>
      </c>
      <c r="D29" s="53">
        <f t="shared" si="14"/>
        <v>1</v>
      </c>
      <c r="E29" s="53">
        <f t="shared" si="14"/>
        <v>3</v>
      </c>
      <c r="F29" s="53">
        <f t="shared" si="14"/>
        <v>35</v>
      </c>
      <c r="G29" s="53">
        <f t="shared" ref="G29" si="15">SUM(G25:G28)</f>
        <v>9</v>
      </c>
      <c r="H29" s="53">
        <f t="shared" si="9"/>
        <v>-26</v>
      </c>
      <c r="I29" s="54"/>
      <c r="J29" s="53">
        <f t="shared" ref="J29:K29" si="16">SUM(J25:J28)</f>
        <v>35</v>
      </c>
      <c r="K29" s="53">
        <f t="shared" si="16"/>
        <v>541</v>
      </c>
      <c r="L29" s="53">
        <f t="shared" si="10"/>
        <v>506</v>
      </c>
    </row>
    <row r="30" spans="2:13" x14ac:dyDescent="0.35">
      <c r="B30" s="11" t="s">
        <v>69</v>
      </c>
      <c r="C30" s="48">
        <f>C31-C29</f>
        <v>-48</v>
      </c>
      <c r="D30" s="48">
        <f>D31-D29</f>
        <v>3</v>
      </c>
      <c r="E30" s="48">
        <f>E31-E29</f>
        <v>-5</v>
      </c>
      <c r="F30" s="48">
        <v>-70</v>
      </c>
      <c r="G30" s="48">
        <f>G31-G29</f>
        <v>-201</v>
      </c>
      <c r="H30" s="56">
        <f t="shared" si="9"/>
        <v>-131</v>
      </c>
      <c r="I30" s="54"/>
      <c r="J30" s="48">
        <v>-78</v>
      </c>
      <c r="K30" s="48">
        <v>-1360</v>
      </c>
      <c r="L30" s="56">
        <f t="shared" si="10"/>
        <v>-1282</v>
      </c>
    </row>
    <row r="31" spans="2:13" x14ac:dyDescent="0.35">
      <c r="B31" s="13" t="s">
        <v>47</v>
      </c>
      <c r="C31" s="53">
        <v>-45</v>
      </c>
      <c r="D31" s="53">
        <v>4</v>
      </c>
      <c r="E31" s="53">
        <v>-2</v>
      </c>
      <c r="F31" s="53">
        <v>-35</v>
      </c>
      <c r="G31" s="53">
        <v>-192</v>
      </c>
      <c r="H31" s="53">
        <f t="shared" si="9"/>
        <v>-157</v>
      </c>
      <c r="I31" s="54"/>
      <c r="J31" s="53">
        <f>SUM(J29:J30)</f>
        <v>-43</v>
      </c>
      <c r="K31" s="53">
        <f>SUM(K29:K30)</f>
        <v>-819</v>
      </c>
      <c r="L31" s="53">
        <f t="shared" si="10"/>
        <v>-776</v>
      </c>
    </row>
    <row r="32" spans="2:13" x14ac:dyDescent="0.35">
      <c r="B32" s="11" t="s">
        <v>73</v>
      </c>
      <c r="C32" s="56">
        <v>-6</v>
      </c>
      <c r="D32" s="56">
        <v>-4</v>
      </c>
      <c r="E32" s="48">
        <v>-1</v>
      </c>
      <c r="F32" s="48">
        <v>-49</v>
      </c>
      <c r="G32" s="48">
        <v>-90</v>
      </c>
      <c r="H32" s="56">
        <f t="shared" si="9"/>
        <v>-41</v>
      </c>
      <c r="I32" s="54"/>
      <c r="J32" s="48">
        <v>-26</v>
      </c>
      <c r="K32" s="48">
        <v>-153</v>
      </c>
      <c r="L32" s="56">
        <f t="shared" si="10"/>
        <v>-127</v>
      </c>
    </row>
    <row r="33" spans="2:13" x14ac:dyDescent="0.35">
      <c r="B33" s="13" t="s">
        <v>49</v>
      </c>
      <c r="C33" s="53">
        <f t="shared" ref="C33:F33" si="17">SUM(C31:C32)</f>
        <v>-51</v>
      </c>
      <c r="D33" s="53">
        <f t="shared" si="17"/>
        <v>0</v>
      </c>
      <c r="E33" s="53">
        <f t="shared" si="17"/>
        <v>-3</v>
      </c>
      <c r="F33" s="53">
        <f t="shared" si="17"/>
        <v>-84</v>
      </c>
      <c r="G33" s="53">
        <f t="shared" ref="G33" si="18">SUM(G31:G32)</f>
        <v>-282</v>
      </c>
      <c r="H33" s="53">
        <f t="shared" si="9"/>
        <v>-198</v>
      </c>
      <c r="I33" s="54"/>
      <c r="J33" s="53">
        <f t="shared" ref="J33:K33" si="19">SUM(J31:J32)</f>
        <v>-69</v>
      </c>
      <c r="K33" s="53">
        <f t="shared" si="19"/>
        <v>-972</v>
      </c>
      <c r="L33" s="53">
        <f t="shared" si="10"/>
        <v>-903</v>
      </c>
    </row>
    <row r="34" spans="2:13" x14ac:dyDescent="0.35">
      <c r="B34" s="18"/>
      <c r="C34" s="57"/>
      <c r="D34" s="57"/>
      <c r="E34" s="57"/>
      <c r="F34" s="57"/>
      <c r="G34" s="57"/>
      <c r="H34" s="57"/>
      <c r="I34" s="58"/>
      <c r="J34" s="58"/>
      <c r="K34" s="58"/>
      <c r="L34" s="58"/>
    </row>
    <row r="35" spans="2:13" x14ac:dyDescent="0.35">
      <c r="B35" s="18"/>
      <c r="C35" s="57"/>
      <c r="D35" s="57"/>
      <c r="E35" s="57"/>
      <c r="F35" s="57"/>
      <c r="G35" s="57"/>
      <c r="H35" s="57"/>
      <c r="J35" s="57"/>
      <c r="K35" s="57"/>
      <c r="L35" s="57"/>
    </row>
    <row r="36" spans="2:13" x14ac:dyDescent="0.35">
      <c r="B36" s="43" t="s">
        <v>74</v>
      </c>
      <c r="C36" s="44" t="s">
        <v>1</v>
      </c>
      <c r="D36" s="44" t="s">
        <v>1</v>
      </c>
      <c r="E36" s="44" t="s">
        <v>1</v>
      </c>
      <c r="F36" s="44" t="s">
        <v>1</v>
      </c>
      <c r="G36" s="44" t="s">
        <v>1</v>
      </c>
      <c r="H36" s="6" t="str">
        <f>H2</f>
        <v>Delta</v>
      </c>
      <c r="I36" s="45"/>
      <c r="J36" s="6" t="s">
        <v>3</v>
      </c>
      <c r="K36" s="6" t="s">
        <v>3</v>
      </c>
      <c r="L36" s="6" t="s">
        <v>2</v>
      </c>
    </row>
    <row r="37" spans="2:13" ht="15" thickBot="1" x14ac:dyDescent="0.4">
      <c r="B37" s="46" t="s">
        <v>75</v>
      </c>
      <c r="C37" s="47">
        <v>2018</v>
      </c>
      <c r="D37" s="47">
        <v>2019</v>
      </c>
      <c r="E37" s="9">
        <v>2020</v>
      </c>
      <c r="F37" s="9">
        <v>2021</v>
      </c>
      <c r="G37" s="9">
        <v>2022</v>
      </c>
      <c r="H37" s="10" t="str">
        <f>H3</f>
        <v>21-22</v>
      </c>
      <c r="I37" s="45"/>
      <c r="J37" s="9">
        <v>2022</v>
      </c>
      <c r="K37" s="9">
        <v>2023</v>
      </c>
      <c r="L37" s="10" t="s">
        <v>6</v>
      </c>
    </row>
    <row r="38" spans="2:13" x14ac:dyDescent="0.35">
      <c r="B38" s="13" t="s">
        <v>76</v>
      </c>
      <c r="C38" s="59">
        <v>41.1</v>
      </c>
      <c r="D38" s="59">
        <v>36.132996654258996</v>
      </c>
      <c r="E38" s="59">
        <f t="shared" ref="E38:G38" si="20">SUM(E39,E40)</f>
        <v>34.025807318312005</v>
      </c>
      <c r="F38" s="59">
        <f t="shared" si="20"/>
        <v>35.812751122135055</v>
      </c>
      <c r="G38" s="59">
        <f t="shared" si="20"/>
        <v>39.224079315984909</v>
      </c>
      <c r="H38" s="59">
        <f t="shared" ref="H38:H47" si="21">G38-F38</f>
        <v>3.4113281938498545</v>
      </c>
      <c r="I38" s="34"/>
      <c r="J38" s="59">
        <f t="shared" ref="J38:K38" si="22">SUM(J39,J40)</f>
        <v>19.492474374734002</v>
      </c>
      <c r="K38" s="59">
        <f t="shared" si="22"/>
        <v>20.223216241092828</v>
      </c>
      <c r="L38" s="59">
        <f t="shared" ref="L38:L46" si="23">K38-J38</f>
        <v>0.73074186635882654</v>
      </c>
    </row>
    <row r="39" spans="2:13" x14ac:dyDescent="0.35">
      <c r="B39" s="36" t="s">
        <v>77</v>
      </c>
      <c r="C39" s="60">
        <v>37.1</v>
      </c>
      <c r="D39" s="60">
        <v>32.377175923458999</v>
      </c>
      <c r="E39" s="60">
        <v>25.880518444320998</v>
      </c>
      <c r="F39" s="60">
        <v>23.318894698452002</v>
      </c>
      <c r="G39" s="60">
        <v>27.537362506451998</v>
      </c>
      <c r="H39" s="60">
        <f t="shared" si="21"/>
        <v>4.2184678079999962</v>
      </c>
      <c r="I39" s="34"/>
      <c r="J39" s="60">
        <v>13.680086684479999</v>
      </c>
      <c r="K39" s="60">
        <v>14.527315548457269</v>
      </c>
      <c r="L39" s="60">
        <f t="shared" si="23"/>
        <v>0.8472288639772696</v>
      </c>
      <c r="M39" s="21"/>
    </row>
    <row r="40" spans="2:13" x14ac:dyDescent="0.35">
      <c r="B40" s="36" t="s">
        <v>78</v>
      </c>
      <c r="C40" s="60">
        <v>4</v>
      </c>
      <c r="D40" s="60">
        <v>3.7558207307999991</v>
      </c>
      <c r="E40" s="60">
        <f>SUM(E41:E42)</f>
        <v>8.1452888739910048</v>
      </c>
      <c r="F40" s="60">
        <f>SUM(F41:F42)</f>
        <v>12.493856423683049</v>
      </c>
      <c r="G40" s="60">
        <f>SUM(G41:G42)</f>
        <v>11.686716809532911</v>
      </c>
      <c r="H40" s="60">
        <f t="shared" si="21"/>
        <v>-0.80713961415013813</v>
      </c>
      <c r="I40" s="34"/>
      <c r="J40" s="60">
        <v>5.8123876902540008</v>
      </c>
      <c r="K40" s="60">
        <f t="shared" ref="K40" si="24">SUM(K41:K42)</f>
        <v>5.6959006926355604</v>
      </c>
      <c r="L40" s="60">
        <f t="shared" si="23"/>
        <v>-0.11648699761844039</v>
      </c>
      <c r="M40" s="21"/>
    </row>
    <row r="41" spans="2:13" x14ac:dyDescent="0.35">
      <c r="B41" s="61" t="s">
        <v>79</v>
      </c>
      <c r="C41" s="60">
        <v>2.9</v>
      </c>
      <c r="D41" s="60">
        <v>3.5907539999558415</v>
      </c>
      <c r="E41" s="60">
        <v>6.3704093762012066</v>
      </c>
      <c r="F41" s="60">
        <v>9.269036355767323</v>
      </c>
      <c r="G41" s="60">
        <v>10.331120950407596</v>
      </c>
      <c r="H41" s="60">
        <f t="shared" si="21"/>
        <v>1.0620845946402735</v>
      </c>
      <c r="I41" s="34"/>
      <c r="J41" s="60">
        <v>5.0192591494337107</v>
      </c>
      <c r="K41" s="60">
        <v>5.6669534318869568</v>
      </c>
      <c r="L41" s="60">
        <f t="shared" si="23"/>
        <v>0.64769428245324612</v>
      </c>
    </row>
    <row r="42" spans="2:13" x14ac:dyDescent="0.35">
      <c r="B42" s="61" t="s">
        <v>81</v>
      </c>
      <c r="C42" s="60">
        <v>1.1000000000000001</v>
      </c>
      <c r="D42" s="60">
        <v>0.16506673084415777</v>
      </c>
      <c r="E42" s="60">
        <v>1.7748794977897988</v>
      </c>
      <c r="F42" s="60">
        <v>3.2248200679157262</v>
      </c>
      <c r="G42" s="60">
        <v>1.3555958591253139</v>
      </c>
      <c r="H42" s="60">
        <f t="shared" si="21"/>
        <v>-1.8692242087904123</v>
      </c>
      <c r="I42" s="34"/>
      <c r="J42" s="60">
        <v>0.79312854082028983</v>
      </c>
      <c r="K42" s="60">
        <v>2.8947260748603768E-2</v>
      </c>
      <c r="L42" s="60">
        <f t="shared" si="23"/>
        <v>-0.76418128007168606</v>
      </c>
    </row>
    <row r="43" spans="2:13" x14ac:dyDescent="0.35">
      <c r="B43" s="13" t="s">
        <v>82</v>
      </c>
      <c r="C43" s="62">
        <v>5.9027842361998019E-2</v>
      </c>
      <c r="D43" s="62">
        <v>6.0020658875154141E-2</v>
      </c>
      <c r="E43" s="62">
        <v>8.4533157533862424E-2</v>
      </c>
      <c r="F43" s="62">
        <v>5.77895474971293E-2</v>
      </c>
      <c r="G43" s="62">
        <v>6.6424244671782554E-2</v>
      </c>
      <c r="H43" s="62">
        <f t="shared" si="21"/>
        <v>8.6346971746532539E-3</v>
      </c>
      <c r="I43" s="34"/>
      <c r="J43" s="62">
        <v>5.0953899999999996E-2</v>
      </c>
      <c r="K43" s="62">
        <v>6.1066027625907272E-2</v>
      </c>
      <c r="L43" s="62">
        <f t="shared" si="23"/>
        <v>1.0112127625907276E-2</v>
      </c>
    </row>
    <row r="44" spans="2:13" x14ac:dyDescent="0.35">
      <c r="B44" s="36" t="s">
        <v>83</v>
      </c>
      <c r="C44" s="63">
        <v>6.0376249903696826E-2</v>
      </c>
      <c r="D44" s="63">
        <v>5.772503441450276E-2</v>
      </c>
      <c r="E44" s="63">
        <v>6.9048880775099172E-2</v>
      </c>
      <c r="F44" s="63">
        <v>7.7797342225877017E-2</v>
      </c>
      <c r="G44" s="63">
        <v>8.0640317996580613E-2</v>
      </c>
      <c r="H44" s="63">
        <f t="shared" si="21"/>
        <v>2.8429757707035958E-3</v>
      </c>
      <c r="I44" s="34"/>
      <c r="J44" s="63">
        <v>7.0199569865786918E-2</v>
      </c>
      <c r="K44" s="63">
        <v>7.8440779471910457E-2</v>
      </c>
      <c r="L44" s="63">
        <f t="shared" si="23"/>
        <v>8.2412096061235396E-3</v>
      </c>
    </row>
    <row r="45" spans="2:13" x14ac:dyDescent="0.35">
      <c r="B45" s="36" t="s">
        <v>84</v>
      </c>
      <c r="C45" s="63">
        <v>3.9523182832020894E-2</v>
      </c>
      <c r="D45" s="63">
        <v>6.5470543587143937E-2</v>
      </c>
      <c r="E45" s="63">
        <v>0.12871665987550968</v>
      </c>
      <c r="F45" s="63">
        <v>2.2358776611433869E-2</v>
      </c>
      <c r="G45" s="63">
        <v>4.215119441926226E-2</v>
      </c>
      <c r="H45" s="63">
        <f t="shared" si="21"/>
        <v>1.9792417807828391E-2</v>
      </c>
      <c r="I45" s="34"/>
      <c r="J45" s="63">
        <v>4.2693691471743733E-2</v>
      </c>
      <c r="K45" s="63">
        <v>3.8644377188357511E-2</v>
      </c>
      <c r="L45" s="63">
        <f t="shared" si="23"/>
        <v>-4.0493142833862225E-3</v>
      </c>
    </row>
    <row r="46" spans="2:13" x14ac:dyDescent="0.35">
      <c r="B46" s="61" t="s">
        <v>79</v>
      </c>
      <c r="C46" s="63">
        <v>3.1112406761257396E-2</v>
      </c>
      <c r="D46" s="63">
        <v>5.5955058949575705E-2</v>
      </c>
      <c r="E46" s="63">
        <v>9.6848909910970699E-2</v>
      </c>
      <c r="F46" s="63">
        <v>3.5827192967736311E-3</v>
      </c>
      <c r="G46" s="63">
        <v>3.6171686835953551E-2</v>
      </c>
      <c r="H46" s="63">
        <f t="shared" si="21"/>
        <v>3.2588967539179919E-2</v>
      </c>
      <c r="I46" s="34"/>
      <c r="J46" s="63">
        <v>4.8962259002783982E-2</v>
      </c>
      <c r="K46" s="64">
        <v>3.1315349254219825E-2</v>
      </c>
      <c r="L46" s="63">
        <f t="shared" si="23"/>
        <v>-1.7646909748564157E-2</v>
      </c>
    </row>
    <row r="47" spans="2:13" x14ac:dyDescent="0.35">
      <c r="B47" s="61" t="s">
        <v>81</v>
      </c>
      <c r="C47" s="63">
        <v>6.5729377574179806E-2</v>
      </c>
      <c r="D47" s="63" t="s">
        <v>80</v>
      </c>
      <c r="E47" s="63">
        <v>0.22364562460322399</v>
      </c>
      <c r="F47" s="63">
        <v>7.8918090897997353E-2</v>
      </c>
      <c r="G47" s="63">
        <v>5.8316887396051349E-2</v>
      </c>
      <c r="H47" s="63">
        <f t="shared" si="21"/>
        <v>-2.0601203501946004E-2</v>
      </c>
      <c r="I47" s="34"/>
      <c r="J47" s="63">
        <v>-1.802123536548517E-2</v>
      </c>
      <c r="K47" s="63" t="s">
        <v>15</v>
      </c>
      <c r="L47" s="63" t="s">
        <v>15</v>
      </c>
    </row>
    <row r="48" spans="2:13" x14ac:dyDescent="0.35">
      <c r="B48" s="65" t="s">
        <v>35</v>
      </c>
      <c r="C48" s="66"/>
      <c r="D48" s="66"/>
      <c r="E48" s="66"/>
      <c r="F48" s="66"/>
      <c r="G48" s="66"/>
      <c r="H48" s="66"/>
      <c r="I48" s="34"/>
      <c r="J48" s="66"/>
      <c r="K48" s="66"/>
      <c r="L48" s="66"/>
    </row>
    <row r="49" spans="2:12" x14ac:dyDescent="0.35">
      <c r="B49" s="67" t="s">
        <v>85</v>
      </c>
      <c r="C49" s="60">
        <v>9.554451000000002</v>
      </c>
      <c r="D49" s="60">
        <v>9.9399669999999993</v>
      </c>
      <c r="E49" s="60">
        <v>10.1</v>
      </c>
      <c r="F49" s="60">
        <v>10.331613000000001</v>
      </c>
      <c r="G49" s="60">
        <v>10.567378</v>
      </c>
      <c r="H49" s="60">
        <f t="shared" ref="H49:H56" si="25">G49-F49</f>
        <v>0.23576499999999889</v>
      </c>
      <c r="I49" s="34"/>
      <c r="J49" s="60">
        <v>10.432076</v>
      </c>
      <c r="K49" s="60">
        <v>10.432076</v>
      </c>
      <c r="L49" s="60">
        <f t="shared" ref="L49:L50" si="26">K49-J49</f>
        <v>0</v>
      </c>
    </row>
    <row r="50" spans="2:12" x14ac:dyDescent="0.35">
      <c r="B50" s="18" t="s">
        <v>86</v>
      </c>
      <c r="C50" s="63">
        <v>6.0205476142579789E-3</v>
      </c>
      <c r="D50" s="63">
        <v>3.6101046262642012E-4</v>
      </c>
      <c r="E50" s="63">
        <v>6.7619679399469291E-5</v>
      </c>
      <c r="F50" s="63">
        <v>1.6990459527584027E-3</v>
      </c>
      <c r="G50" s="63">
        <v>9.4464176134778806E-4</v>
      </c>
      <c r="H50" s="63">
        <f t="shared" si="25"/>
        <v>-7.5440419141061465E-4</v>
      </c>
      <c r="I50" s="34"/>
      <c r="J50" s="63">
        <v>6.1831770660557533E-4</v>
      </c>
      <c r="K50" s="63">
        <v>7.3698232850504149E-5</v>
      </c>
      <c r="L50" s="63">
        <f t="shared" si="26"/>
        <v>-5.4461947375507118E-4</v>
      </c>
    </row>
    <row r="51" spans="2:12" x14ac:dyDescent="0.35">
      <c r="B51" s="65" t="s">
        <v>87</v>
      </c>
      <c r="C51" s="66"/>
      <c r="D51" s="66"/>
      <c r="E51" s="66"/>
      <c r="F51" s="66"/>
      <c r="G51" s="66"/>
      <c r="H51" s="66"/>
      <c r="I51" s="34"/>
      <c r="J51" s="66"/>
      <c r="K51" s="59"/>
      <c r="L51" s="66"/>
    </row>
    <row r="52" spans="2:12" x14ac:dyDescent="0.35">
      <c r="B52" t="s">
        <v>88</v>
      </c>
      <c r="C52" s="68">
        <v>9.1999999999999993</v>
      </c>
      <c r="D52" s="68">
        <v>9.1999999999999993</v>
      </c>
      <c r="E52" s="68">
        <v>9.1999999999999993</v>
      </c>
      <c r="F52" s="68">
        <v>22.608579999999996</v>
      </c>
      <c r="G52" s="68">
        <v>24.066579999999995</v>
      </c>
      <c r="H52" s="60">
        <f t="shared" si="25"/>
        <v>1.4579999999999984</v>
      </c>
      <c r="I52" s="69"/>
      <c r="J52" s="68">
        <v>22.608579999999996</v>
      </c>
      <c r="K52" s="60">
        <v>27.934329999999999</v>
      </c>
      <c r="L52" s="60">
        <f t="shared" ref="L52:L53" si="27">K52-J52</f>
        <v>5.3257500000000029</v>
      </c>
    </row>
    <row r="53" spans="2:12" x14ac:dyDescent="0.35">
      <c r="B53" t="s">
        <v>89</v>
      </c>
      <c r="C53">
        <v>3.8</v>
      </c>
      <c r="D53">
        <v>3.8</v>
      </c>
      <c r="E53">
        <v>3.8</v>
      </c>
      <c r="F53">
        <v>3.8</v>
      </c>
      <c r="G53">
        <v>3.8</v>
      </c>
      <c r="H53" s="60">
        <f t="shared" si="25"/>
        <v>0</v>
      </c>
      <c r="I53" s="69"/>
      <c r="J53">
        <v>3.8</v>
      </c>
      <c r="K53">
        <f>G53</f>
        <v>3.8</v>
      </c>
      <c r="L53" s="60">
        <f t="shared" si="27"/>
        <v>0</v>
      </c>
    </row>
    <row r="54" spans="2:12" x14ac:dyDescent="0.35">
      <c r="B54" s="65" t="s">
        <v>90</v>
      </c>
      <c r="C54" s="66"/>
      <c r="D54" s="66"/>
      <c r="E54" s="66"/>
      <c r="F54" s="66"/>
      <c r="G54" s="66"/>
      <c r="H54" s="66"/>
      <c r="I54" s="34"/>
      <c r="J54" s="66"/>
      <c r="K54" s="66"/>
      <c r="L54" s="66"/>
    </row>
    <row r="55" spans="2:12" x14ac:dyDescent="0.35">
      <c r="B55" s="2" t="s">
        <v>91</v>
      </c>
      <c r="C55">
        <v>188</v>
      </c>
      <c r="D55">
        <v>256</v>
      </c>
      <c r="E55">
        <v>301</v>
      </c>
      <c r="F55">
        <v>494</v>
      </c>
      <c r="G55">
        <v>788</v>
      </c>
      <c r="H55" s="48">
        <f t="shared" si="25"/>
        <v>294</v>
      </c>
      <c r="J55">
        <v>520</v>
      </c>
      <c r="K55" s="1">
        <v>1164</v>
      </c>
      <c r="L55" s="48">
        <f t="shared" ref="L55:L56" si="28">K55-J55</f>
        <v>644</v>
      </c>
    </row>
    <row r="56" spans="2:12" x14ac:dyDescent="0.35">
      <c r="B56" s="70" t="s">
        <v>92</v>
      </c>
      <c r="C56">
        <v>111</v>
      </c>
      <c r="D56">
        <v>147</v>
      </c>
      <c r="E56">
        <v>173</v>
      </c>
      <c r="F56">
        <v>263</v>
      </c>
      <c r="G56">
        <v>422</v>
      </c>
      <c r="H56" s="48">
        <f t="shared" si="25"/>
        <v>159</v>
      </c>
      <c r="J56">
        <v>275</v>
      </c>
      <c r="K56" s="1">
        <v>614</v>
      </c>
      <c r="L56" s="48">
        <f t="shared" si="28"/>
        <v>339</v>
      </c>
    </row>
    <row r="57" spans="2:12" x14ac:dyDescent="0.35">
      <c r="B57" s="2"/>
      <c r="C57" s="50"/>
      <c r="D57" s="50"/>
      <c r="E57" s="50"/>
      <c r="F57" s="50"/>
      <c r="G57" s="50"/>
      <c r="H57" s="50"/>
      <c r="I57" s="50"/>
      <c r="J57" s="50"/>
      <c r="K57" s="50"/>
      <c r="L57" s="50"/>
    </row>
  </sheetData>
  <pageMargins left="0.7" right="0.7" top="0.75" bottom="0.75" header="0.3" footer="0.3"/>
  <pageSetup paperSize="9" scale="58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66"/>
  <sheetViews>
    <sheetView showGridLines="0" zoomScale="90" zoomScaleNormal="9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 activeCell="F10" sqref="F10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8" width="10.6328125" customWidth="1"/>
    <col min="9" max="9" width="2.90625" style="71" customWidth="1"/>
    <col min="10" max="12" width="10.6328125" customWidth="1"/>
  </cols>
  <sheetData>
    <row r="1" spans="2:13" x14ac:dyDescent="0.35">
      <c r="C1" s="3"/>
      <c r="D1" s="3"/>
      <c r="E1" s="3"/>
      <c r="F1" s="3"/>
      <c r="G1" s="3"/>
      <c r="H1" s="3"/>
      <c r="J1" s="3"/>
      <c r="K1" s="3"/>
      <c r="L1" s="3"/>
    </row>
    <row r="2" spans="2:13" x14ac:dyDescent="0.35">
      <c r="B2" s="43" t="s">
        <v>93</v>
      </c>
      <c r="C2" s="44" t="s">
        <v>1</v>
      </c>
      <c r="D2" s="44" t="s">
        <v>1</v>
      </c>
      <c r="E2" s="6" t="s">
        <v>1</v>
      </c>
      <c r="F2" s="6" t="s">
        <v>1</v>
      </c>
      <c r="G2" s="6" t="s">
        <v>1</v>
      </c>
      <c r="H2" s="6" t="str">
        <f>Consolidated!H2</f>
        <v>Delta</v>
      </c>
      <c r="I2" s="45"/>
      <c r="J2" s="6" t="s">
        <v>3</v>
      </c>
      <c r="K2" s="6" t="s">
        <v>3</v>
      </c>
      <c r="L2" s="6" t="s">
        <v>2</v>
      </c>
    </row>
    <row r="3" spans="2:13" ht="15" thickBot="1" x14ac:dyDescent="0.4">
      <c r="B3" s="46" t="s">
        <v>4</v>
      </c>
      <c r="C3" s="47">
        <v>2018</v>
      </c>
      <c r="D3" s="47">
        <v>2019</v>
      </c>
      <c r="E3" s="9">
        <v>2020</v>
      </c>
      <c r="F3" s="9">
        <v>2021</v>
      </c>
      <c r="G3" s="9">
        <v>2022</v>
      </c>
      <c r="H3" s="10" t="str">
        <f>Consolidated!$H$3</f>
        <v>21-22</v>
      </c>
      <c r="I3" s="45"/>
      <c r="J3" s="9">
        <v>2022</v>
      </c>
      <c r="K3" s="9">
        <v>2023</v>
      </c>
      <c r="L3" s="10" t="s">
        <v>6</v>
      </c>
    </row>
    <row r="4" spans="2:13" x14ac:dyDescent="0.35">
      <c r="B4" s="72" t="s">
        <v>94</v>
      </c>
      <c r="C4" s="56">
        <v>1717</v>
      </c>
      <c r="D4" s="56">
        <v>1959</v>
      </c>
      <c r="E4" s="56">
        <v>2070</v>
      </c>
      <c r="F4" s="56">
        <v>2951</v>
      </c>
      <c r="G4" s="56">
        <v>6226</v>
      </c>
      <c r="H4" s="56">
        <f>G4-F4</f>
        <v>3275</v>
      </c>
      <c r="I4" s="73"/>
      <c r="J4" s="56">
        <v>2117</v>
      </c>
      <c r="K4" s="56">
        <v>4583</v>
      </c>
      <c r="L4" s="56">
        <f>K4-J4</f>
        <v>2466</v>
      </c>
    </row>
    <row r="5" spans="2:13" x14ac:dyDescent="0.35">
      <c r="B5" s="18" t="s">
        <v>20</v>
      </c>
      <c r="C5" s="56">
        <v>798</v>
      </c>
      <c r="D5" s="56">
        <v>1058</v>
      </c>
      <c r="E5" s="56">
        <v>1342</v>
      </c>
      <c r="F5" s="56">
        <v>2101</v>
      </c>
      <c r="G5" s="56">
        <v>4119</v>
      </c>
      <c r="H5" s="56">
        <f t="shared" ref="H5:H24" si="0">G5-F5</f>
        <v>2018</v>
      </c>
      <c r="I5" s="74"/>
      <c r="J5" s="56">
        <v>2059</v>
      </c>
      <c r="K5" s="56">
        <v>3088</v>
      </c>
      <c r="L5" s="56">
        <f t="shared" ref="L5:L24" si="1">K5-J5</f>
        <v>1029</v>
      </c>
    </row>
    <row r="6" spans="2:13" x14ac:dyDescent="0.35">
      <c r="B6" s="72" t="s">
        <v>95</v>
      </c>
      <c r="C6" s="56">
        <v>816</v>
      </c>
      <c r="D6" s="56">
        <v>902</v>
      </c>
      <c r="E6" s="56">
        <f t="shared" ref="E6:G6" si="2">SUM(E7:E11)</f>
        <v>941</v>
      </c>
      <c r="F6" s="56">
        <f t="shared" si="2"/>
        <v>1045</v>
      </c>
      <c r="G6" s="56">
        <f t="shared" si="2"/>
        <v>1292</v>
      </c>
      <c r="H6" s="56">
        <f t="shared" si="0"/>
        <v>247</v>
      </c>
      <c r="I6" s="74"/>
      <c r="J6" s="56">
        <f t="shared" ref="J6:K6" si="3">SUM(J7:J11)</f>
        <v>485</v>
      </c>
      <c r="K6" s="56">
        <f t="shared" si="3"/>
        <v>-425</v>
      </c>
      <c r="L6" s="56">
        <f t="shared" si="1"/>
        <v>-910</v>
      </c>
    </row>
    <row r="7" spans="2:13" x14ac:dyDescent="0.35">
      <c r="B7" s="75" t="s">
        <v>96</v>
      </c>
      <c r="C7" s="56">
        <v>105</v>
      </c>
      <c r="D7" s="56">
        <v>69</v>
      </c>
      <c r="E7" s="56">
        <v>121</v>
      </c>
      <c r="F7" s="56">
        <v>295</v>
      </c>
      <c r="G7" s="56">
        <v>0</v>
      </c>
      <c r="H7" s="56">
        <f t="shared" si="0"/>
        <v>-295</v>
      </c>
      <c r="I7" s="76"/>
      <c r="J7" s="56">
        <v>0</v>
      </c>
      <c r="K7" s="56">
        <v>47</v>
      </c>
      <c r="L7" s="56">
        <f t="shared" si="1"/>
        <v>47</v>
      </c>
    </row>
    <row r="8" spans="2:13" x14ac:dyDescent="0.35">
      <c r="B8" s="75" t="s">
        <v>97</v>
      </c>
      <c r="C8" s="56">
        <v>85</v>
      </c>
      <c r="D8" s="56">
        <v>92</v>
      </c>
      <c r="E8" s="56">
        <v>82</v>
      </c>
      <c r="F8" s="56">
        <v>102</v>
      </c>
      <c r="G8" s="56">
        <v>-109</v>
      </c>
      <c r="H8" s="56">
        <f t="shared" si="0"/>
        <v>-211</v>
      </c>
      <c r="I8" s="74"/>
      <c r="J8" s="56">
        <v>-16</v>
      </c>
      <c r="K8" s="56">
        <v>-1040</v>
      </c>
      <c r="L8" s="56">
        <f t="shared" si="1"/>
        <v>-1024</v>
      </c>
    </row>
    <row r="9" spans="2:13" x14ac:dyDescent="0.35">
      <c r="B9" s="75" t="s">
        <v>98</v>
      </c>
      <c r="C9" s="56">
        <v>97</v>
      </c>
      <c r="D9" s="56">
        <v>115</v>
      </c>
      <c r="E9" s="56">
        <v>97</v>
      </c>
      <c r="F9" s="56">
        <v>77</v>
      </c>
      <c r="G9" s="56">
        <v>103</v>
      </c>
      <c r="H9" s="56">
        <f t="shared" si="0"/>
        <v>26</v>
      </c>
      <c r="I9" s="74"/>
      <c r="J9" s="56">
        <v>44</v>
      </c>
      <c r="K9" s="56">
        <v>42</v>
      </c>
      <c r="L9" s="56">
        <f t="shared" si="1"/>
        <v>-2</v>
      </c>
    </row>
    <row r="10" spans="2:13" x14ac:dyDescent="0.35">
      <c r="B10" s="75" t="s">
        <v>99</v>
      </c>
      <c r="C10" s="56">
        <v>413</v>
      </c>
      <c r="D10" s="56">
        <v>466</v>
      </c>
      <c r="E10" s="56">
        <v>446</v>
      </c>
      <c r="F10" s="56">
        <v>422</v>
      </c>
      <c r="G10" s="56">
        <v>906</v>
      </c>
      <c r="H10" s="56">
        <f t="shared" si="0"/>
        <v>484</v>
      </c>
      <c r="I10" s="74"/>
      <c r="J10" s="56">
        <v>386</v>
      </c>
      <c r="K10" s="56">
        <v>476</v>
      </c>
      <c r="L10" s="56">
        <f t="shared" si="1"/>
        <v>90</v>
      </c>
    </row>
    <row r="11" spans="2:13" x14ac:dyDescent="0.35">
      <c r="B11" s="75" t="s">
        <v>100</v>
      </c>
      <c r="C11" s="56">
        <v>116</v>
      </c>
      <c r="D11" s="56">
        <v>160</v>
      </c>
      <c r="E11" s="56">
        <v>195</v>
      </c>
      <c r="F11" s="56">
        <v>149</v>
      </c>
      <c r="G11" s="56">
        <v>392</v>
      </c>
      <c r="H11" s="77">
        <f t="shared" si="0"/>
        <v>243</v>
      </c>
      <c r="I11" s="74"/>
      <c r="J11" s="56">
        <v>71</v>
      </c>
      <c r="K11" s="56">
        <v>50</v>
      </c>
      <c r="L11" s="77">
        <f t="shared" si="1"/>
        <v>-21</v>
      </c>
    </row>
    <row r="12" spans="2:13" x14ac:dyDescent="0.35">
      <c r="B12" s="78" t="s">
        <v>101</v>
      </c>
      <c r="C12" s="56">
        <v>133</v>
      </c>
      <c r="D12" s="56">
        <v>174</v>
      </c>
      <c r="E12" s="56">
        <v>217</v>
      </c>
      <c r="F12" s="56">
        <v>283</v>
      </c>
      <c r="G12" s="56">
        <v>482</v>
      </c>
      <c r="H12" s="56">
        <f t="shared" si="0"/>
        <v>199</v>
      </c>
      <c r="I12" s="74"/>
      <c r="J12" s="56">
        <v>235</v>
      </c>
      <c r="K12" s="56">
        <v>0</v>
      </c>
      <c r="L12" s="56">
        <f t="shared" si="1"/>
        <v>-235</v>
      </c>
    </row>
    <row r="13" spans="2:13" x14ac:dyDescent="0.35">
      <c r="B13" s="72" t="s">
        <v>35</v>
      </c>
      <c r="C13" s="56">
        <v>26</v>
      </c>
      <c r="D13" s="56">
        <v>-20</v>
      </c>
      <c r="E13" s="56">
        <v>193</v>
      </c>
      <c r="F13" s="56">
        <v>171</v>
      </c>
      <c r="G13" s="56">
        <v>410</v>
      </c>
      <c r="H13" s="56">
        <f t="shared" si="0"/>
        <v>239</v>
      </c>
      <c r="I13" s="74"/>
      <c r="J13" s="56">
        <v>320</v>
      </c>
      <c r="K13" s="56">
        <v>323</v>
      </c>
      <c r="L13" s="56">
        <f t="shared" si="1"/>
        <v>3</v>
      </c>
    </row>
    <row r="14" spans="2:13" x14ac:dyDescent="0.35">
      <c r="B14" s="13" t="s">
        <v>26</v>
      </c>
      <c r="C14" s="53">
        <v>3490</v>
      </c>
      <c r="D14" s="53">
        <v>4073</v>
      </c>
      <c r="E14" s="53">
        <f>SUM(E4:E6,E12:E13)</f>
        <v>4763</v>
      </c>
      <c r="F14" s="53">
        <f>SUM(F4:F6,F12:F13)</f>
        <v>6551</v>
      </c>
      <c r="G14" s="53">
        <f>SUM(G4:G6,G12:G13)</f>
        <v>12529</v>
      </c>
      <c r="H14" s="53">
        <f t="shared" si="0"/>
        <v>5978</v>
      </c>
      <c r="I14" s="79"/>
      <c r="J14" s="53">
        <f>SUM(J4:J6,J12:J13)</f>
        <v>5216</v>
      </c>
      <c r="K14" s="53">
        <f>SUM(K4:K6,K12:K13)</f>
        <v>7569</v>
      </c>
      <c r="L14" s="53">
        <f t="shared" si="1"/>
        <v>2353</v>
      </c>
      <c r="M14" s="21"/>
    </row>
    <row r="15" spans="2:13" x14ac:dyDescent="0.35">
      <c r="B15" s="11" t="s">
        <v>102</v>
      </c>
      <c r="C15" s="56">
        <v>-1082</v>
      </c>
      <c r="D15" s="56">
        <v>-1178</v>
      </c>
      <c r="E15" s="56">
        <v>-1157</v>
      </c>
      <c r="F15" s="56">
        <v>-1050</v>
      </c>
      <c r="G15" s="56">
        <v>-3717</v>
      </c>
      <c r="H15" s="56">
        <f t="shared" si="0"/>
        <v>-2667</v>
      </c>
      <c r="I15" s="74"/>
      <c r="J15" s="56">
        <v>-596</v>
      </c>
      <c r="K15" s="56">
        <v>-2734</v>
      </c>
      <c r="L15" s="56">
        <f t="shared" si="1"/>
        <v>-2138</v>
      </c>
    </row>
    <row r="16" spans="2:13" x14ac:dyDescent="0.35">
      <c r="B16" s="11" t="s">
        <v>96</v>
      </c>
      <c r="C16" s="55">
        <v>-105</v>
      </c>
      <c r="D16" s="55">
        <v>-69</v>
      </c>
      <c r="E16" s="56">
        <v>-121</v>
      </c>
      <c r="F16" s="56">
        <v>-295</v>
      </c>
      <c r="G16" s="56">
        <v>811</v>
      </c>
      <c r="H16" s="56">
        <f t="shared" si="0"/>
        <v>1106</v>
      </c>
      <c r="I16" s="74"/>
      <c r="J16" s="56">
        <v>0</v>
      </c>
      <c r="K16" s="56">
        <v>-47</v>
      </c>
      <c r="L16" s="56">
        <f t="shared" si="1"/>
        <v>-47</v>
      </c>
    </row>
    <row r="17" spans="2:12" x14ac:dyDescent="0.35">
      <c r="B17" s="11" t="s">
        <v>103</v>
      </c>
      <c r="C17" s="56">
        <v>71</v>
      </c>
      <c r="D17" s="56">
        <v>-449</v>
      </c>
      <c r="E17" s="56">
        <v>78</v>
      </c>
      <c r="F17" s="56">
        <v>1381</v>
      </c>
      <c r="G17" s="56">
        <v>-4005</v>
      </c>
      <c r="H17" s="55">
        <f t="shared" si="0"/>
        <v>-5386</v>
      </c>
      <c r="I17" s="74"/>
      <c r="J17" s="56">
        <v>386</v>
      </c>
      <c r="K17" s="56">
        <v>4591</v>
      </c>
      <c r="L17" s="55">
        <f t="shared" si="1"/>
        <v>4205</v>
      </c>
    </row>
    <row r="18" spans="2:12" x14ac:dyDescent="0.35">
      <c r="B18" s="13" t="s">
        <v>47</v>
      </c>
      <c r="C18" s="53">
        <v>2374</v>
      </c>
      <c r="D18" s="53">
        <v>2377</v>
      </c>
      <c r="E18" s="53">
        <f>SUM(E14:E17)</f>
        <v>3563</v>
      </c>
      <c r="F18" s="53">
        <f>SUM(F14:F17)</f>
        <v>6587</v>
      </c>
      <c r="G18" s="53">
        <f>SUM(G14:G17)</f>
        <v>5618</v>
      </c>
      <c r="H18" s="53">
        <f t="shared" si="0"/>
        <v>-969</v>
      </c>
      <c r="I18" s="80"/>
      <c r="J18" s="53">
        <f>SUM(J14:J17)</f>
        <v>5006</v>
      </c>
      <c r="K18" s="53">
        <f>SUM(K14:K17)</f>
        <v>9379</v>
      </c>
      <c r="L18" s="53">
        <f t="shared" si="1"/>
        <v>4373</v>
      </c>
    </row>
    <row r="19" spans="2:12" x14ac:dyDescent="0.35">
      <c r="B19" s="11" t="s">
        <v>104</v>
      </c>
      <c r="C19" s="56">
        <v>-1605</v>
      </c>
      <c r="D19" s="56">
        <v>-1418</v>
      </c>
      <c r="E19" s="56">
        <v>-1790</v>
      </c>
      <c r="F19" s="56">
        <v>-2800</v>
      </c>
      <c r="G19" s="56">
        <v>-4452</v>
      </c>
      <c r="H19" s="55">
        <f t="shared" si="0"/>
        <v>-1652</v>
      </c>
      <c r="I19" s="81"/>
      <c r="J19" s="56">
        <v>-934</v>
      </c>
      <c r="K19" s="56">
        <v>-3651.3851906821219</v>
      </c>
      <c r="L19" s="55">
        <f t="shared" si="1"/>
        <v>-2717.3851906821219</v>
      </c>
    </row>
    <row r="20" spans="2:12" x14ac:dyDescent="0.35">
      <c r="B20" s="11" t="s">
        <v>96</v>
      </c>
      <c r="C20" s="55">
        <v>105</v>
      </c>
      <c r="D20" s="55">
        <v>69</v>
      </c>
      <c r="E20" s="56">
        <v>121</v>
      </c>
      <c r="F20" s="56">
        <v>295</v>
      </c>
      <c r="G20" s="56">
        <v>-811</v>
      </c>
      <c r="H20" s="55">
        <f t="shared" si="0"/>
        <v>-1106</v>
      </c>
      <c r="I20" s="74"/>
      <c r="J20" s="56">
        <v>0</v>
      </c>
      <c r="K20" s="56">
        <v>46.772899645408259</v>
      </c>
      <c r="L20" s="55">
        <f t="shared" si="1"/>
        <v>46.772899645408259</v>
      </c>
    </row>
    <row r="21" spans="2:12" x14ac:dyDescent="0.35">
      <c r="B21" s="11" t="s">
        <v>105</v>
      </c>
      <c r="C21" s="56">
        <v>-308</v>
      </c>
      <c r="D21" s="56">
        <v>-255</v>
      </c>
      <c r="E21" s="56">
        <v>-346</v>
      </c>
      <c r="F21" s="56">
        <v>-451</v>
      </c>
      <c r="G21" s="56">
        <v>-947</v>
      </c>
      <c r="H21" s="55">
        <f t="shared" si="0"/>
        <v>-496</v>
      </c>
      <c r="I21" s="74"/>
      <c r="J21" s="56">
        <v>-168</v>
      </c>
      <c r="K21" s="56">
        <v>-648.83021238660842</v>
      </c>
      <c r="L21" s="55">
        <f t="shared" si="1"/>
        <v>-480.83021238660842</v>
      </c>
    </row>
    <row r="22" spans="2:12" x14ac:dyDescent="0.35">
      <c r="B22" s="11" t="s">
        <v>106</v>
      </c>
      <c r="C22" s="56">
        <v>259</v>
      </c>
      <c r="D22" s="56">
        <v>49</v>
      </c>
      <c r="E22" s="56">
        <v>-96</v>
      </c>
      <c r="F22" s="56">
        <v>-452</v>
      </c>
      <c r="G22" s="56">
        <v>610</v>
      </c>
      <c r="H22" s="55">
        <f t="shared" si="0"/>
        <v>1062</v>
      </c>
      <c r="I22" s="74"/>
      <c r="J22" s="56">
        <v>-986</v>
      </c>
      <c r="K22" s="56">
        <v>-1985.6064965766782</v>
      </c>
      <c r="L22" s="55">
        <f t="shared" si="1"/>
        <v>-999.60649657667818</v>
      </c>
    </row>
    <row r="23" spans="2:12" x14ac:dyDescent="0.35">
      <c r="B23" s="13" t="s">
        <v>107</v>
      </c>
      <c r="C23" s="53">
        <v>-1549</v>
      </c>
      <c r="D23" s="53">
        <v>-1555</v>
      </c>
      <c r="E23" s="53">
        <f t="shared" ref="E23:G23" si="4">SUM(E19:E22)</f>
        <v>-2111</v>
      </c>
      <c r="F23" s="53">
        <f t="shared" si="4"/>
        <v>-3408</v>
      </c>
      <c r="G23" s="53">
        <f t="shared" si="4"/>
        <v>-5600</v>
      </c>
      <c r="H23" s="53">
        <f t="shared" si="0"/>
        <v>-2192</v>
      </c>
      <c r="I23" s="80"/>
      <c r="J23" s="53">
        <f t="shared" ref="J23:K23" si="5">SUM(J19:J22)</f>
        <v>-2088</v>
      </c>
      <c r="K23" s="53">
        <f t="shared" si="5"/>
        <v>-6239.049</v>
      </c>
      <c r="L23" s="53">
        <f t="shared" si="1"/>
        <v>-4151.049</v>
      </c>
    </row>
    <row r="24" spans="2:12" x14ac:dyDescent="0.35">
      <c r="B24" s="13" t="s">
        <v>49</v>
      </c>
      <c r="C24" s="53">
        <v>825</v>
      </c>
      <c r="D24" s="53">
        <v>822</v>
      </c>
      <c r="E24" s="53">
        <f>E23+E18</f>
        <v>1452</v>
      </c>
      <c r="F24" s="53">
        <f>F23+F18</f>
        <v>3179</v>
      </c>
      <c r="G24" s="53">
        <f>G23+G18</f>
        <v>18</v>
      </c>
      <c r="H24" s="53">
        <f t="shared" si="0"/>
        <v>-3161</v>
      </c>
      <c r="I24" s="80"/>
      <c r="J24" s="53">
        <f>J23+J18</f>
        <v>2918</v>
      </c>
      <c r="K24" s="53">
        <f>K23+K18</f>
        <v>3139.951</v>
      </c>
      <c r="L24" s="53">
        <f t="shared" si="1"/>
        <v>221.95100000000002</v>
      </c>
    </row>
    <row r="25" spans="2:12" x14ac:dyDescent="0.35">
      <c r="B25" s="5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2:12" x14ac:dyDescent="0.35">
      <c r="B26" s="43" t="s">
        <v>93</v>
      </c>
      <c r="C26" s="44" t="s">
        <v>1</v>
      </c>
      <c r="D26" s="44" t="s">
        <v>1</v>
      </c>
      <c r="E26" s="6" t="s">
        <v>1</v>
      </c>
      <c r="F26" s="6" t="s">
        <v>1</v>
      </c>
      <c r="G26" s="6" t="s">
        <v>1</v>
      </c>
      <c r="H26" s="44" t="s">
        <v>2</v>
      </c>
      <c r="I26" s="45"/>
      <c r="J26" s="6" t="s">
        <v>3</v>
      </c>
      <c r="K26" s="6" t="s">
        <v>3</v>
      </c>
      <c r="L26" s="6" t="s">
        <v>2</v>
      </c>
    </row>
    <row r="27" spans="2:12" ht="15" thickBot="1" x14ac:dyDescent="0.4">
      <c r="B27" s="46" t="s">
        <v>75</v>
      </c>
      <c r="C27" s="47">
        <v>2018</v>
      </c>
      <c r="D27" s="47">
        <v>2019</v>
      </c>
      <c r="E27" s="9">
        <v>2020</v>
      </c>
      <c r="F27" s="9">
        <v>2021</v>
      </c>
      <c r="G27" s="9">
        <v>2022</v>
      </c>
      <c r="H27" s="10" t="str">
        <f>Consolidated!$H$3</f>
        <v>21-22</v>
      </c>
      <c r="I27" s="45"/>
      <c r="J27" s="9">
        <v>2022</v>
      </c>
      <c r="K27" s="9">
        <v>2023</v>
      </c>
      <c r="L27" s="10" t="s">
        <v>6</v>
      </c>
    </row>
    <row r="28" spans="2:12" x14ac:dyDescent="0.35">
      <c r="B28" s="72" t="s">
        <v>108</v>
      </c>
      <c r="C28" s="56">
        <v>5322.0147345384239</v>
      </c>
      <c r="D28" s="56">
        <f t="shared" ref="D28:F28" si="6">C33</f>
        <v>6948.0147345384239</v>
      </c>
      <c r="E28" s="56">
        <f t="shared" si="6"/>
        <v>8400.2602391005548</v>
      </c>
      <c r="F28" s="56">
        <f t="shared" si="6"/>
        <v>9354.2602391005548</v>
      </c>
      <c r="G28" s="56">
        <f>F33</f>
        <v>11238.260239100555</v>
      </c>
      <c r="H28" s="56">
        <f>G28-F28</f>
        <v>1884</v>
      </c>
      <c r="I28" s="74"/>
      <c r="J28" s="56">
        <f>F33</f>
        <v>11238.260239100555</v>
      </c>
      <c r="K28" s="56">
        <f>G33</f>
        <v>19863.260239100557</v>
      </c>
      <c r="L28" s="56">
        <f>K28-J28</f>
        <v>8625.0000000000018</v>
      </c>
    </row>
    <row r="29" spans="2:12" x14ac:dyDescent="0.35">
      <c r="B29" s="75" t="s">
        <v>104</v>
      </c>
      <c r="C29" s="56">
        <v>1605</v>
      </c>
      <c r="D29" s="56">
        <v>1418</v>
      </c>
      <c r="E29" s="56">
        <f>-E19</f>
        <v>1790</v>
      </c>
      <c r="F29" s="56">
        <v>2800</v>
      </c>
      <c r="G29" s="56">
        <v>4452</v>
      </c>
      <c r="H29" s="56">
        <f t="shared" ref="H29:H60" si="7">G29-F29</f>
        <v>1652</v>
      </c>
      <c r="I29" s="74"/>
      <c r="J29" s="56">
        <v>934</v>
      </c>
      <c r="K29" s="56">
        <v>3651.3851906821219</v>
      </c>
      <c r="L29" s="56">
        <f t="shared" ref="L29:L30" si="8">K29-J29</f>
        <v>2717.3851906821219</v>
      </c>
    </row>
    <row r="30" spans="2:12" x14ac:dyDescent="0.35">
      <c r="B30" s="75" t="s">
        <v>20</v>
      </c>
      <c r="C30" s="56">
        <v>-798</v>
      </c>
      <c r="D30" s="56">
        <v>-1058</v>
      </c>
      <c r="E30" s="56">
        <f>-E5</f>
        <v>-1342</v>
      </c>
      <c r="F30" s="56">
        <v>-2556</v>
      </c>
      <c r="G30" s="56">
        <v>-4663</v>
      </c>
      <c r="H30" s="56">
        <f t="shared" si="7"/>
        <v>-2107</v>
      </c>
      <c r="I30" s="74"/>
      <c r="J30" s="56">
        <v>-2332</v>
      </c>
      <c r="K30" s="56">
        <v>-3087.7781231793406</v>
      </c>
      <c r="L30" s="56">
        <f t="shared" si="8"/>
        <v>-755.77812317934058</v>
      </c>
    </row>
    <row r="31" spans="2:12" x14ac:dyDescent="0.35">
      <c r="B31" s="75" t="s">
        <v>109</v>
      </c>
      <c r="C31" s="50" t="s">
        <v>15</v>
      </c>
      <c r="D31" s="50" t="s">
        <v>15</v>
      </c>
      <c r="E31" s="48">
        <v>-492</v>
      </c>
      <c r="F31" s="50" t="s">
        <v>15</v>
      </c>
      <c r="G31" s="50" t="s">
        <v>15</v>
      </c>
      <c r="H31" s="50" t="s">
        <v>15</v>
      </c>
      <c r="I31" s="74"/>
      <c r="J31" s="50" t="s">
        <v>15</v>
      </c>
      <c r="K31" s="50" t="s">
        <v>15</v>
      </c>
      <c r="L31" s="50" t="s">
        <v>15</v>
      </c>
    </row>
    <row r="32" spans="2:12" x14ac:dyDescent="0.35">
      <c r="B32" s="75" t="s">
        <v>110</v>
      </c>
      <c r="C32" s="56">
        <v>819</v>
      </c>
      <c r="D32" s="56">
        <v>1092.24550456213</v>
      </c>
      <c r="E32" s="56">
        <v>998</v>
      </c>
      <c r="F32" s="56">
        <v>1640</v>
      </c>
      <c r="G32" s="56">
        <v>8836</v>
      </c>
      <c r="H32" s="56">
        <f t="shared" si="7"/>
        <v>7196</v>
      </c>
      <c r="I32" s="74"/>
      <c r="J32" s="56">
        <v>8836</v>
      </c>
      <c r="K32" s="56">
        <v>7590.2564642369989</v>
      </c>
      <c r="L32" s="56">
        <f t="shared" ref="L32:L34" si="9">K32-J32</f>
        <v>-1245.7435357630011</v>
      </c>
    </row>
    <row r="33" spans="2:13" x14ac:dyDescent="0.35">
      <c r="B33" s="13" t="s">
        <v>111</v>
      </c>
      <c r="C33" s="53">
        <v>6948.0147345384239</v>
      </c>
      <c r="D33" s="53">
        <v>8400.2602391005548</v>
      </c>
      <c r="E33" s="53">
        <f>SUM(E28:E32)</f>
        <v>9354.2602391005548</v>
      </c>
      <c r="F33" s="53">
        <f>SUM(F28:F32)</f>
        <v>11238.260239100555</v>
      </c>
      <c r="G33" s="53">
        <f>SUM(G28:G32)</f>
        <v>19863.260239100557</v>
      </c>
      <c r="H33" s="53">
        <f t="shared" si="7"/>
        <v>8625.0000000000018</v>
      </c>
      <c r="I33" s="80"/>
      <c r="J33" s="53">
        <f>SUM(J28:J32)</f>
        <v>18676.260239100557</v>
      </c>
      <c r="K33" s="53">
        <f>SUM(K28:K32)</f>
        <v>28017.123770840335</v>
      </c>
      <c r="L33" s="53">
        <f t="shared" si="9"/>
        <v>9340.8635317397784</v>
      </c>
      <c r="M33" s="21"/>
    </row>
    <row r="34" spans="2:13" x14ac:dyDescent="0.35">
      <c r="B34" s="72" t="s">
        <v>112</v>
      </c>
      <c r="C34" s="83">
        <v>0.1361</v>
      </c>
      <c r="D34" s="83">
        <v>0.1361</v>
      </c>
      <c r="E34" s="83">
        <v>0.13609999999999997</v>
      </c>
      <c r="F34" s="83">
        <v>0.123</v>
      </c>
      <c r="G34" s="83">
        <f>F34</f>
        <v>0.123</v>
      </c>
      <c r="H34" s="83">
        <f t="shared" si="7"/>
        <v>0</v>
      </c>
      <c r="I34" s="74"/>
      <c r="J34" s="83">
        <v>0.123</v>
      </c>
      <c r="K34" s="83">
        <f>G34</f>
        <v>0.123</v>
      </c>
      <c r="L34" s="83">
        <f t="shared" si="9"/>
        <v>0</v>
      </c>
    </row>
    <row r="35" spans="2:13" x14ac:dyDescent="0.35">
      <c r="B35" s="13" t="s">
        <v>48</v>
      </c>
      <c r="C35" s="84"/>
      <c r="D35" s="84"/>
      <c r="E35" s="84"/>
      <c r="F35" s="84"/>
      <c r="G35" s="84"/>
      <c r="H35" s="84"/>
      <c r="I35" s="80"/>
      <c r="J35" s="84"/>
      <c r="K35" s="84"/>
      <c r="L35" s="84"/>
    </row>
    <row r="36" spans="2:13" x14ac:dyDescent="0.35">
      <c r="B36" s="72" t="s">
        <v>113</v>
      </c>
      <c r="C36" s="56">
        <v>863.87649800000008</v>
      </c>
      <c r="D36" s="56">
        <v>863.87649799999997</v>
      </c>
      <c r="E36" s="56">
        <v>864</v>
      </c>
      <c r="F36" s="56">
        <v>1486</v>
      </c>
      <c r="G36" s="56">
        <v>1486</v>
      </c>
      <c r="H36" s="56">
        <f t="shared" si="7"/>
        <v>0</v>
      </c>
      <c r="I36" s="74"/>
      <c r="J36" s="56">
        <v>742.80841842340692</v>
      </c>
      <c r="K36" s="56">
        <v>742.80841842340703</v>
      </c>
      <c r="L36" s="56">
        <f t="shared" ref="L36:L39" si="10">K36-J36</f>
        <v>0</v>
      </c>
    </row>
    <row r="37" spans="2:13" x14ac:dyDescent="0.35">
      <c r="B37" s="72" t="s">
        <v>114</v>
      </c>
      <c r="C37" s="56">
        <v>1156</v>
      </c>
      <c r="D37" s="56">
        <v>1337.2950444151948</v>
      </c>
      <c r="E37" s="56">
        <v>1506</v>
      </c>
      <c r="F37" s="56">
        <v>3044</v>
      </c>
      <c r="G37" s="56">
        <v>5437</v>
      </c>
      <c r="H37" s="56">
        <f t="shared" si="7"/>
        <v>2393</v>
      </c>
      <c r="I37" s="74"/>
      <c r="J37" s="56">
        <v>2682.2940596443286</v>
      </c>
      <c r="K37" s="56">
        <v>3757.3818497638185</v>
      </c>
      <c r="L37" s="56">
        <f t="shared" si="10"/>
        <v>1075.0877901194899</v>
      </c>
    </row>
    <row r="38" spans="2:13" x14ac:dyDescent="0.35">
      <c r="B38" s="72" t="s">
        <v>104</v>
      </c>
      <c r="C38" s="56">
        <v>1605</v>
      </c>
      <c r="D38" s="56">
        <v>1418</v>
      </c>
      <c r="E38" s="56">
        <f>E29</f>
        <v>1790</v>
      </c>
      <c r="F38" s="56">
        <v>2800</v>
      </c>
      <c r="G38" s="56">
        <v>4452</v>
      </c>
      <c r="H38" s="56">
        <f t="shared" si="7"/>
        <v>1652</v>
      </c>
      <c r="I38" s="74"/>
      <c r="J38" s="56">
        <v>933.82692299608175</v>
      </c>
      <c r="K38" s="56">
        <v>3651.3851906821219</v>
      </c>
      <c r="L38" s="56">
        <f t="shared" si="10"/>
        <v>2717.5582676860404</v>
      </c>
    </row>
    <row r="39" spans="2:13" x14ac:dyDescent="0.35">
      <c r="B39" s="72" t="s">
        <v>115</v>
      </c>
      <c r="C39" s="85">
        <f t="shared" ref="C39:G39" si="11">C38/C37-1</f>
        <v>0.3884083044982698</v>
      </c>
      <c r="D39" s="85">
        <f t="shared" si="11"/>
        <v>6.0349401519017798E-2</v>
      </c>
      <c r="E39" s="85">
        <f t="shared" si="11"/>
        <v>0.18857901726427628</v>
      </c>
      <c r="F39" s="85">
        <f t="shared" si="11"/>
        <v>-8.0157687253613719E-2</v>
      </c>
      <c r="G39" s="85">
        <f t="shared" si="11"/>
        <v>-0.18116608423763103</v>
      </c>
      <c r="H39" s="85">
        <f t="shared" si="7"/>
        <v>-0.10100839698401731</v>
      </c>
      <c r="I39" s="74"/>
      <c r="J39" s="85">
        <v>-0.65185512765147502</v>
      </c>
      <c r="K39" s="85">
        <v>-2.8210244079493685E-2</v>
      </c>
      <c r="L39" s="85">
        <f t="shared" si="10"/>
        <v>0.62364488357198133</v>
      </c>
    </row>
    <row r="40" spans="2:13" x14ac:dyDescent="0.35">
      <c r="B40" s="13" t="s">
        <v>116</v>
      </c>
      <c r="C40" s="86"/>
      <c r="D40" s="86"/>
      <c r="E40" s="86"/>
      <c r="F40" s="86"/>
      <c r="G40" s="86"/>
      <c r="H40" s="86"/>
      <c r="I40" s="80"/>
      <c r="J40" s="86"/>
      <c r="K40" s="86"/>
      <c r="L40" s="86"/>
    </row>
    <row r="41" spans="2:13" x14ac:dyDescent="0.35">
      <c r="B41" s="72" t="s">
        <v>117</v>
      </c>
      <c r="C41" s="88">
        <v>7.6352424951418529E-2</v>
      </c>
      <c r="D41" s="88">
        <v>7.3323606072953129E-2</v>
      </c>
      <c r="E41" s="88">
        <v>7.1800000000000003E-2</v>
      </c>
      <c r="F41" s="88">
        <v>6.7599999999999993E-2</v>
      </c>
      <c r="G41" s="88">
        <v>6.7799999999999999E-2</v>
      </c>
      <c r="H41" s="88">
        <f t="shared" si="7"/>
        <v>2.0000000000000573E-4</v>
      </c>
      <c r="I41" s="74"/>
      <c r="J41" s="88">
        <v>6.7799999999999999E-2</v>
      </c>
      <c r="K41" s="88">
        <v>6.8798655175846324E-2</v>
      </c>
      <c r="L41" s="88">
        <f t="shared" ref="L41:L44" si="12">K41-J41</f>
        <v>9.9865517584632468E-4</v>
      </c>
    </row>
    <row r="42" spans="2:13" x14ac:dyDescent="0.35">
      <c r="B42" s="72" t="s">
        <v>118</v>
      </c>
      <c r="C42" s="88">
        <v>6.107955885564343E-2</v>
      </c>
      <c r="D42" s="88">
        <v>5.7048399613746324E-2</v>
      </c>
      <c r="E42" s="88">
        <v>6.0291549277044644E-2</v>
      </c>
      <c r="F42" s="88">
        <v>6.020449416271377E-2</v>
      </c>
      <c r="G42" s="88">
        <v>5.9077766434169711E-2</v>
      </c>
      <c r="H42" s="88">
        <f t="shared" si="7"/>
        <v>-1.1267277285440594E-3</v>
      </c>
      <c r="I42" s="74"/>
      <c r="J42" s="88">
        <v>4.9659512196693838E-2</v>
      </c>
      <c r="K42" s="88">
        <v>5.6249010249267609E-2</v>
      </c>
      <c r="L42" s="88">
        <f t="shared" si="12"/>
        <v>6.5894980525737709E-3</v>
      </c>
    </row>
    <row r="43" spans="2:13" x14ac:dyDescent="0.35">
      <c r="B43" s="72" t="s">
        <v>119</v>
      </c>
      <c r="C43" s="87">
        <f t="shared" ref="C43:G43" si="13">C41-C42</f>
        <v>1.5272866095775099E-2</v>
      </c>
      <c r="D43" s="87">
        <f t="shared" si="13"/>
        <v>1.6275206459206805E-2</v>
      </c>
      <c r="E43" s="87">
        <f t="shared" si="13"/>
        <v>1.1508450722955359E-2</v>
      </c>
      <c r="F43" s="87">
        <f t="shared" si="13"/>
        <v>7.3955058372862231E-3</v>
      </c>
      <c r="G43" s="87">
        <f t="shared" si="13"/>
        <v>8.7222335658302882E-3</v>
      </c>
      <c r="H43" s="88">
        <f t="shared" si="7"/>
        <v>1.3267277285440651E-3</v>
      </c>
      <c r="I43" s="74"/>
      <c r="J43" s="87">
        <v>1.8140487803306161E-2</v>
      </c>
      <c r="K43" s="87">
        <f t="shared" ref="K43" si="14">K41-K42</f>
        <v>1.2549644926578715E-2</v>
      </c>
      <c r="L43" s="88">
        <f t="shared" si="12"/>
        <v>-5.5908428767274462E-3</v>
      </c>
    </row>
    <row r="44" spans="2:13" x14ac:dyDescent="0.35">
      <c r="B44" s="72" t="s">
        <v>120</v>
      </c>
      <c r="C44" s="89">
        <v>16.2</v>
      </c>
      <c r="D44" s="89">
        <v>15.9</v>
      </c>
      <c r="E44" s="89">
        <v>15.7568085397094</v>
      </c>
      <c r="F44" s="89">
        <v>16.516521385410659</v>
      </c>
      <c r="G44" s="89">
        <v>16.652742768860961</v>
      </c>
      <c r="H44" s="89">
        <f t="shared" si="7"/>
        <v>0.13622138345030166</v>
      </c>
      <c r="I44" s="74"/>
      <c r="J44" s="89">
        <v>8.3446979185380528</v>
      </c>
      <c r="K44" s="89">
        <v>8.2779821948258494</v>
      </c>
      <c r="L44" s="89">
        <f t="shared" si="12"/>
        <v>-6.6715723712203356E-2</v>
      </c>
    </row>
    <row r="45" spans="2:13" x14ac:dyDescent="0.35">
      <c r="B45" s="13" t="s">
        <v>121</v>
      </c>
      <c r="C45" s="86"/>
      <c r="D45" s="86"/>
      <c r="E45" s="86"/>
      <c r="F45" s="86"/>
      <c r="G45" s="86"/>
      <c r="H45" s="86"/>
      <c r="I45" s="80"/>
      <c r="J45" s="86"/>
      <c r="K45" s="86"/>
      <c r="L45" s="86"/>
    </row>
    <row r="46" spans="2:13" x14ac:dyDescent="0.35">
      <c r="B46" s="72" t="s">
        <v>117</v>
      </c>
      <c r="C46" s="88">
        <v>7.4955134146130781E-2</v>
      </c>
      <c r="D46" s="88">
        <v>7.3127731018089281E-2</v>
      </c>
      <c r="E46" s="88">
        <v>7.1499999999999994E-2</v>
      </c>
      <c r="F46" s="88">
        <v>6.6199999999999995E-2</v>
      </c>
      <c r="G46" s="88">
        <v>6.5000000000000002E-2</v>
      </c>
      <c r="H46" s="88">
        <f t="shared" si="7"/>
        <v>-1.1999999999999927E-3</v>
      </c>
      <c r="I46" s="74"/>
      <c r="J46" s="88">
        <v>6.5000000000000002E-2</v>
      </c>
      <c r="K46" s="88">
        <v>6.5301127711818979E-2</v>
      </c>
      <c r="L46" s="88">
        <f t="shared" ref="L46:L49" si="15">K46-J46</f>
        <v>3.0112771181897702E-4</v>
      </c>
    </row>
    <row r="47" spans="2:13" x14ac:dyDescent="0.35">
      <c r="B47" s="72" t="s">
        <v>118</v>
      </c>
      <c r="C47" s="88">
        <v>6.0422329224719774E-2</v>
      </c>
      <c r="D47" s="88">
        <v>5.4954367895907096E-2</v>
      </c>
      <c r="E47" s="88">
        <v>5.756612038884245E-2</v>
      </c>
      <c r="F47" s="88">
        <v>5.3489093013954069E-2</v>
      </c>
      <c r="G47" s="88">
        <v>5.6793686900364973E-2</v>
      </c>
      <c r="H47" s="88">
        <f t="shared" si="7"/>
        <v>3.3045938864109045E-3</v>
      </c>
      <c r="I47" s="74"/>
      <c r="J47" s="88">
        <v>5.1204732113024266E-2</v>
      </c>
      <c r="K47" s="88">
        <v>4.550768956063201E-2</v>
      </c>
      <c r="L47" s="88">
        <f t="shared" si="15"/>
        <v>-5.6970425523922563E-3</v>
      </c>
    </row>
    <row r="48" spans="2:13" x14ac:dyDescent="0.35">
      <c r="B48" s="72" t="s">
        <v>119</v>
      </c>
      <c r="C48" s="87">
        <f t="shared" ref="C48:G48" si="16">C46-C47</f>
        <v>1.4532804921411006E-2</v>
      </c>
      <c r="D48" s="87">
        <f t="shared" si="16"/>
        <v>1.8173363122182186E-2</v>
      </c>
      <c r="E48" s="87">
        <f t="shared" si="16"/>
        <v>1.3933879611157544E-2</v>
      </c>
      <c r="F48" s="87">
        <f t="shared" si="16"/>
        <v>1.2710906986045926E-2</v>
      </c>
      <c r="G48" s="87">
        <f t="shared" si="16"/>
        <v>8.2063130996350292E-3</v>
      </c>
      <c r="H48" s="88">
        <f t="shared" si="7"/>
        <v>-4.5045938864108973E-3</v>
      </c>
      <c r="I48" s="74"/>
      <c r="J48" s="87">
        <v>1.3795267886975736E-2</v>
      </c>
      <c r="K48" s="87">
        <f t="shared" ref="K48" si="17">K46-K47</f>
        <v>1.9793438151186969E-2</v>
      </c>
      <c r="L48" s="88">
        <f t="shared" si="15"/>
        <v>5.9981702642112333E-3</v>
      </c>
    </row>
    <row r="49" spans="2:12" x14ac:dyDescent="0.35">
      <c r="B49" s="72" t="s">
        <v>120</v>
      </c>
      <c r="C49" s="89">
        <v>12.6</v>
      </c>
      <c r="D49" s="89">
        <v>12.4</v>
      </c>
      <c r="E49" s="89">
        <v>12.098271876945752</v>
      </c>
      <c r="F49" s="89">
        <v>12.639582102216716</v>
      </c>
      <c r="G49" s="89">
        <v>13.023353550573368</v>
      </c>
      <c r="H49" s="89">
        <f t="shared" si="7"/>
        <v>0.38377144835665256</v>
      </c>
      <c r="I49" s="74"/>
      <c r="J49" s="89">
        <v>6.5755236056707504</v>
      </c>
      <c r="K49" s="89">
        <v>6.472694606652289</v>
      </c>
      <c r="L49" s="89">
        <f t="shared" si="15"/>
        <v>-0.10282899901846143</v>
      </c>
    </row>
    <row r="50" spans="2:12" x14ac:dyDescent="0.35">
      <c r="B50" s="13" t="s">
        <v>122</v>
      </c>
      <c r="C50" s="86"/>
      <c r="D50" s="86"/>
      <c r="E50" s="86"/>
      <c r="F50" s="86"/>
      <c r="G50" s="86"/>
      <c r="H50" s="86"/>
      <c r="I50" s="80"/>
      <c r="J50" s="86"/>
      <c r="K50" s="86"/>
      <c r="L50" s="86"/>
    </row>
    <row r="51" spans="2:12" x14ac:dyDescent="0.35">
      <c r="B51" s="72" t="s">
        <v>117</v>
      </c>
      <c r="C51" s="88">
        <v>0.1234</v>
      </c>
      <c r="D51" s="88">
        <v>0.11736455562286591</v>
      </c>
      <c r="E51" s="88">
        <v>0.1154</v>
      </c>
      <c r="F51" s="88">
        <v>0.1143</v>
      </c>
      <c r="G51" s="88">
        <v>0.11539999999999999</v>
      </c>
      <c r="H51" s="88">
        <f t="shared" si="7"/>
        <v>1.0999999999999899E-3</v>
      </c>
      <c r="I51" s="74"/>
      <c r="J51" s="88">
        <v>0.11539999999999999</v>
      </c>
      <c r="K51" s="88">
        <v>0.1145</v>
      </c>
      <c r="L51" s="88">
        <f t="shared" ref="L51:L57" si="18">K51-J51</f>
        <v>-8.9999999999998415E-4</v>
      </c>
    </row>
    <row r="52" spans="2:12" x14ac:dyDescent="0.35">
      <c r="B52" s="72" t="s">
        <v>118</v>
      </c>
      <c r="C52" s="88">
        <v>0.11852468775041411</v>
      </c>
      <c r="D52" s="88">
        <v>0.11381892467839186</v>
      </c>
      <c r="E52" s="88">
        <v>0.11403420074108145</v>
      </c>
      <c r="F52" s="88">
        <v>0.11296621112850605</v>
      </c>
      <c r="G52" s="88">
        <v>0.11770935114800513</v>
      </c>
      <c r="H52" s="88">
        <f t="shared" si="7"/>
        <v>4.7431400194990758E-3</v>
      </c>
      <c r="I52" s="74"/>
      <c r="J52" s="88">
        <v>0.12269458149640017</v>
      </c>
      <c r="K52" s="88">
        <v>0.12321715677136537</v>
      </c>
      <c r="L52" s="88">
        <f t="shared" si="18"/>
        <v>5.2257527496520073E-4</v>
      </c>
    </row>
    <row r="53" spans="2:12" x14ac:dyDescent="0.35">
      <c r="B53" s="72" t="s">
        <v>119</v>
      </c>
      <c r="C53" s="87">
        <f t="shared" ref="C53:D53" si="19">C51-C52</f>
        <v>4.8753122495858864E-3</v>
      </c>
      <c r="D53" s="87">
        <f t="shared" si="19"/>
        <v>3.5456309444740486E-3</v>
      </c>
      <c r="E53" s="87">
        <f>E51-E52</f>
        <v>1.3657992589185541E-3</v>
      </c>
      <c r="F53" s="87">
        <f t="shared" ref="F53:G53" si="20">F51-F52</f>
        <v>1.3337888714939489E-3</v>
      </c>
      <c r="G53" s="87">
        <f t="shared" si="20"/>
        <v>-2.3093511480051371E-3</v>
      </c>
      <c r="H53" s="88">
        <f t="shared" si="7"/>
        <v>-3.6431400194990859E-3</v>
      </c>
      <c r="I53" s="74"/>
      <c r="J53" s="87">
        <v>-7.2945814964001793E-3</v>
      </c>
      <c r="K53" s="87">
        <f t="shared" ref="K53" si="21">K51-K52</f>
        <v>-8.7171567713653642E-3</v>
      </c>
      <c r="L53" s="88">
        <f t="shared" si="18"/>
        <v>-1.4225752749651849E-3</v>
      </c>
    </row>
    <row r="54" spans="2:12" x14ac:dyDescent="0.35">
      <c r="B54" s="72" t="s">
        <v>120</v>
      </c>
      <c r="C54" s="89">
        <v>17.399999999999999</v>
      </c>
      <c r="D54" s="89">
        <v>17.600000000000001</v>
      </c>
      <c r="E54" s="89">
        <v>18.197716268826294</v>
      </c>
      <c r="F54" s="89">
        <v>18.80675140622996</v>
      </c>
      <c r="G54" s="89">
        <v>18.806052986252578</v>
      </c>
      <c r="H54" s="89">
        <f t="shared" si="7"/>
        <v>-6.9841997738251393E-4</v>
      </c>
      <c r="I54" s="74"/>
      <c r="J54" s="89">
        <v>8.9504940436631983</v>
      </c>
      <c r="K54" s="89">
        <v>8.374346334061503</v>
      </c>
      <c r="L54" s="89">
        <f t="shared" si="18"/>
        <v>-0.57614770960169537</v>
      </c>
    </row>
    <row r="55" spans="2:12" x14ac:dyDescent="0.35">
      <c r="B55" s="13" t="s">
        <v>99</v>
      </c>
      <c r="C55" s="86"/>
      <c r="D55" s="86"/>
      <c r="E55" s="86"/>
      <c r="F55" s="86"/>
      <c r="G55" s="86"/>
      <c r="H55" s="86"/>
      <c r="I55" s="74"/>
      <c r="J55" s="86"/>
      <c r="K55" s="86"/>
      <c r="L55" s="86"/>
    </row>
    <row r="56" spans="2:12" x14ac:dyDescent="0.35">
      <c r="B56" s="72" t="s">
        <v>123</v>
      </c>
      <c r="C56" s="56">
        <v>314</v>
      </c>
      <c r="D56" s="56">
        <v>329</v>
      </c>
      <c r="E56" s="56">
        <v>315</v>
      </c>
      <c r="F56" s="56">
        <v>317.80665096400003</v>
      </c>
      <c r="G56" s="56">
        <v>759</v>
      </c>
      <c r="H56" s="56">
        <f t="shared" si="7"/>
        <v>441.19334903599997</v>
      </c>
      <c r="I56" s="74"/>
      <c r="J56" s="56">
        <v>320</v>
      </c>
      <c r="K56" s="56">
        <v>400</v>
      </c>
      <c r="L56" s="56">
        <f t="shared" si="18"/>
        <v>80</v>
      </c>
    </row>
    <row r="57" spans="2:12" x14ac:dyDescent="0.35">
      <c r="B57" s="72" t="s">
        <v>124</v>
      </c>
      <c r="C57" s="56">
        <v>99</v>
      </c>
      <c r="D57" s="56">
        <v>137</v>
      </c>
      <c r="E57" s="56">
        <v>131</v>
      </c>
      <c r="F57" s="56">
        <v>104.42475368000001</v>
      </c>
      <c r="G57" s="56">
        <v>147</v>
      </c>
      <c r="H57" s="56">
        <f t="shared" si="7"/>
        <v>42.575246319999991</v>
      </c>
      <c r="I57" s="74"/>
      <c r="J57" s="56">
        <v>66</v>
      </c>
      <c r="K57" s="56">
        <v>76</v>
      </c>
      <c r="L57" s="56">
        <f t="shared" si="18"/>
        <v>10</v>
      </c>
    </row>
    <row r="58" spans="2:12" x14ac:dyDescent="0.35">
      <c r="B58" s="13" t="s">
        <v>35</v>
      </c>
      <c r="C58" s="86"/>
      <c r="D58" s="86"/>
      <c r="E58" s="86"/>
      <c r="F58" s="86"/>
      <c r="G58" s="86"/>
      <c r="H58" s="86"/>
      <c r="I58" s="80"/>
      <c r="J58" s="86"/>
      <c r="K58" s="86"/>
      <c r="L58" s="86"/>
    </row>
    <row r="59" spans="2:12" x14ac:dyDescent="0.35">
      <c r="B59" s="2" t="s">
        <v>125</v>
      </c>
      <c r="C59" s="90">
        <v>226708</v>
      </c>
      <c r="D59" s="90">
        <v>231582</v>
      </c>
      <c r="E59" s="90">
        <v>236064</v>
      </c>
      <c r="F59" s="90">
        <v>309907</v>
      </c>
      <c r="G59" s="90">
        <v>317757</v>
      </c>
      <c r="H59" s="90">
        <f t="shared" si="7"/>
        <v>7850</v>
      </c>
      <c r="I59" s="74"/>
      <c r="J59" s="90">
        <v>315241.92999999993</v>
      </c>
      <c r="K59" s="90">
        <v>321332.14999999997</v>
      </c>
      <c r="L59" s="90">
        <f t="shared" ref="L59:L60" si="22">K59-J59</f>
        <v>6090.2200000000303</v>
      </c>
    </row>
    <row r="60" spans="2:12" x14ac:dyDescent="0.35">
      <c r="B60" s="2" t="s">
        <v>126</v>
      </c>
      <c r="C60" s="91">
        <v>10.9</v>
      </c>
      <c r="D60" s="91">
        <v>11.2</v>
      </c>
      <c r="E60" s="91">
        <v>11.446</v>
      </c>
      <c r="F60" s="91">
        <v>11.686964</v>
      </c>
      <c r="G60" s="91">
        <v>11.923643999999999</v>
      </c>
      <c r="H60" s="91">
        <f t="shared" si="7"/>
        <v>0.23667999999999978</v>
      </c>
      <c r="I60" s="74"/>
      <c r="J60" s="91">
        <v>11.780312</v>
      </c>
      <c r="K60" s="91">
        <v>12.053573</v>
      </c>
      <c r="L60" s="91">
        <f t="shared" si="22"/>
        <v>0.27326099999999975</v>
      </c>
    </row>
    <row r="61" spans="2:12" x14ac:dyDescent="0.35">
      <c r="C61" s="54"/>
      <c r="D61" s="54"/>
      <c r="E61" s="54"/>
      <c r="F61" s="54"/>
      <c r="G61" s="54"/>
      <c r="H61" s="54"/>
      <c r="I61" s="74"/>
      <c r="J61" s="54"/>
      <c r="K61" s="54"/>
      <c r="L61" s="54"/>
    </row>
    <row r="62" spans="2:12" x14ac:dyDescent="0.35">
      <c r="C62" s="92"/>
      <c r="D62" s="92"/>
      <c r="E62" s="92"/>
      <c r="F62" s="92"/>
      <c r="G62" s="92"/>
      <c r="H62" s="54"/>
      <c r="I62" s="74"/>
      <c r="J62" s="92"/>
      <c r="K62" s="92"/>
      <c r="L62" s="54"/>
    </row>
    <row r="63" spans="2:12" x14ac:dyDescent="0.35">
      <c r="C63" s="54"/>
      <c r="D63" s="92"/>
      <c r="E63" s="92"/>
      <c r="F63" s="54"/>
      <c r="G63" s="54"/>
      <c r="H63" s="54"/>
      <c r="I63" s="74"/>
      <c r="J63" s="93"/>
      <c r="K63" s="93"/>
      <c r="L63" s="54"/>
    </row>
    <row r="64" spans="2:12" x14ac:dyDescent="0.35">
      <c r="D64" s="1"/>
      <c r="E64" s="1"/>
      <c r="F64" s="1"/>
      <c r="G64" s="1"/>
      <c r="J64" s="1"/>
      <c r="K64" s="1"/>
    </row>
    <row r="66" spans="3:12" x14ac:dyDescent="0.35">
      <c r="C66" s="1"/>
      <c r="D66" s="1"/>
      <c r="E66" s="1"/>
      <c r="F66" s="1"/>
      <c r="G66" s="1"/>
      <c r="H66" s="1"/>
      <c r="J66" s="1"/>
      <c r="K66" s="1"/>
      <c r="L66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Yildirim Kaan KARAKAYALI</cp:lastModifiedBy>
  <cp:lastPrinted>2023-08-04T07:23:04Z</cp:lastPrinted>
  <dcterms:created xsi:type="dcterms:W3CDTF">2023-08-03T13:57:06Z</dcterms:created>
  <dcterms:modified xsi:type="dcterms:W3CDTF">2023-08-04T07:23:14Z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ec5b2126-bba5-47b5-9669-b528056730a0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4.08.2023, 10:15</vt:lpwstr>
  </property>
  <property fmtid="{D5CDD505-2E9C-101B-9397-08002B2CF9AE}" pid="5" name="LastClassifiedDate">
    <vt:lpwstr>4.08.2023, 10:15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